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Z:\011 Rating and Standards 0223\Active Projects\Design Manual Updates\Working Area\"/>
    </mc:Choice>
  </mc:AlternateContent>
  <xr:revisionPtr revIDLastSave="0" documentId="13_ncr:1_{A8ADA841-0E91-4C92-ADEC-8E25F5A71C2D}" xr6:coauthVersionLast="47" xr6:coauthVersionMax="47" xr10:uidLastSave="{00000000-0000-0000-0000-000000000000}"/>
  <bookViews>
    <workbookView xWindow="38290" yWindow="-110" windowWidth="38620" windowHeight="21820" xr2:uid="{00000000-000D-0000-FFFF-FFFF00000000}"/>
  </bookViews>
  <sheets>
    <sheet name="Ex.10" sheetId="1" r:id="rId1"/>
  </sheets>
  <definedNames>
    <definedName name="_xlnm._FilterDatabase" localSheetId="0" hidden="1">Ex.10!#REF!</definedName>
    <definedName name="Bearing1">Ex.10!#REF!</definedName>
    <definedName name="Bearing2">Ex.10!#REF!</definedName>
    <definedName name="Bearing3">Ex.10!#REF!</definedName>
    <definedName name="_xlnm.Criteria" localSheetId="0">Ex.10!#REF!</definedName>
    <definedName name="Eccentricity1">Ex.10!#REF!</definedName>
    <definedName name="Eccentricity2">Ex.10!#REF!</definedName>
    <definedName name="_xlnm.Print_Area" localSheetId="0">Ex.10!$A$1:$AE$500</definedName>
    <definedName name="ShearKey1">Ex.10!#REF!</definedName>
    <definedName name="ShearKey2">Ex.10!#REF!</definedName>
    <definedName name="Sliding">Ex.10!#REF!</definedName>
    <definedName name="StemCracking">Ex.10!#REF!</definedName>
    <definedName name="StemFlexure">Ex.10!#REF!</definedName>
    <definedName name="StemMinReinf">Ex.10!#REF!</definedName>
    <definedName name="StemShear">Ex.10!#REF!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66" i="1" l="1"/>
  <c r="Q358" i="1" l="1"/>
  <c r="Q390" i="1" l="1"/>
  <c r="Q402" i="1"/>
  <c r="Q396" i="1"/>
  <c r="Q388" i="1"/>
  <c r="Q395" i="1" l="1"/>
  <c r="Q389" i="1"/>
  <c r="O391" i="1"/>
  <c r="Q373" i="1" l="1"/>
  <c r="Q345" i="1" l="1"/>
  <c r="Q343" i="1"/>
  <c r="Q347" i="1" s="1"/>
  <c r="Q348" i="1" s="1"/>
  <c r="Q372" i="1" s="1"/>
  <c r="Q337" i="1"/>
  <c r="Q335" i="1"/>
  <c r="Q410" i="1" l="1"/>
  <c r="Q427" i="1" s="1"/>
  <c r="Q365" i="1"/>
  <c r="Q381" i="1" s="1"/>
  <c r="Q137" i="1"/>
  <c r="Q134" i="1"/>
  <c r="Q130" i="1"/>
  <c r="Q104" i="1" l="1"/>
  <c r="BH61" i="1"/>
  <c r="BH62" i="1" s="1"/>
  <c r="BH65" i="1"/>
  <c r="BH66" i="1" s="1"/>
  <c r="BK65" i="1" s="1"/>
  <c r="Q207" i="1" l="1"/>
  <c r="Q208" i="1"/>
  <c r="Q206" i="1" l="1"/>
  <c r="Q212" i="1"/>
  <c r="U53" i="1" l="1"/>
  <c r="N54" i="1"/>
  <c r="G45" i="1"/>
  <c r="N58" i="1"/>
  <c r="Q108" i="1" l="1"/>
  <c r="Q209" i="1" l="1"/>
  <c r="Q346" i="1" s="1"/>
  <c r="Q371" i="1" s="1"/>
  <c r="V371" i="1" l="1"/>
  <c r="Q375" i="1"/>
  <c r="V373" i="1"/>
  <c r="V372" i="1"/>
  <c r="Q169" i="1"/>
  <c r="Q180" i="1" s="1"/>
  <c r="Q309" i="1" s="1"/>
  <c r="Q407" i="1" l="1"/>
  <c r="Q408" i="1" s="1"/>
  <c r="Q377" i="1"/>
  <c r="Q394" i="1" s="1"/>
  <c r="Q400" i="1" s="1"/>
  <c r="Q110" i="1"/>
  <c r="O403" i="1" l="1"/>
  <c r="Q401" i="1"/>
  <c r="Q411" i="1"/>
  <c r="Q409" i="1"/>
  <c r="Q329" i="1"/>
  <c r="Q330" i="1"/>
  <c r="AC330" i="1" s="1"/>
  <c r="Q331" i="1"/>
  <c r="AC331" i="1" s="1"/>
  <c r="Q328" i="1"/>
  <c r="AC328" i="1" s="1"/>
  <c r="Q204" i="1"/>
  <c r="K194" i="1"/>
  <c r="Q138" i="1"/>
  <c r="Q135" i="1"/>
  <c r="AC329" i="1" l="1"/>
  <c r="Q181" i="1"/>
  <c r="Q445" i="1" s="1"/>
  <c r="Q452" i="1" s="1"/>
  <c r="Q179" i="1"/>
  <c r="Q446" i="1" s="1"/>
  <c r="Q470" i="1" s="1"/>
  <c r="Q129" i="1"/>
  <c r="U70" i="1"/>
  <c r="Q88" i="1" s="1"/>
  <c r="M46" i="1"/>
  <c r="M133" i="1"/>
  <c r="Q133" i="1"/>
  <c r="Q103" i="1"/>
  <c r="Q118" i="1"/>
  <c r="Q119" i="1"/>
  <c r="Q117" i="1"/>
  <c r="BK61" i="1"/>
  <c r="N44" i="1"/>
  <c r="U48" i="1"/>
  <c r="O51" i="1"/>
  <c r="O63" i="1"/>
  <c r="F62" i="1"/>
  <c r="F53" i="1"/>
  <c r="H48" i="1"/>
  <c r="Q469" i="1" l="1"/>
  <c r="Q477" i="1" s="1"/>
  <c r="Q480" i="1" s="1"/>
  <c r="Q453" i="1"/>
  <c r="Q116" i="1"/>
  <c r="Q114" i="1"/>
  <c r="Q123" i="1" s="1"/>
  <c r="M137" i="1" s="1"/>
  <c r="Y137" i="1" s="1"/>
  <c r="Q308" i="1"/>
  <c r="Q307" i="1"/>
  <c r="BH63" i="1"/>
  <c r="Q120" i="1"/>
  <c r="Y133" i="1"/>
  <c r="Q86" i="1"/>
  <c r="Q131" i="1"/>
  <c r="Q454" i="1" l="1"/>
  <c r="Q455" i="1" s="1"/>
  <c r="Q471" i="1"/>
  <c r="Q483" i="1" s="1"/>
  <c r="Q482" i="1"/>
  <c r="Q311" i="1"/>
  <c r="Q352" i="1"/>
  <c r="Q210" i="1"/>
  <c r="Q211" i="1" s="1"/>
  <c r="Q351" i="1"/>
  <c r="Q132" i="1"/>
  <c r="Q136" i="1"/>
  <c r="Q122" i="1"/>
  <c r="M131" i="1"/>
  <c r="Y131" i="1" s="1"/>
  <c r="Q89" i="1"/>
  <c r="Q87" i="1"/>
  <c r="M130" i="1" s="1"/>
  <c r="Y130" i="1" s="1"/>
  <c r="Q124" i="1"/>
  <c r="M138" i="1" s="1"/>
  <c r="Y138" i="1" s="1"/>
  <c r="Q121" i="1"/>
  <c r="M134" i="1" s="1"/>
  <c r="Y134" i="1" s="1"/>
  <c r="M129" i="1"/>
  <c r="Q310" i="1"/>
  <c r="Q484" i="1" l="1"/>
  <c r="Q485" i="1" s="1"/>
  <c r="Q359" i="1"/>
  <c r="Q360" i="1" s="1"/>
  <c r="M135" i="1"/>
  <c r="AA155" i="1" s="1"/>
  <c r="K198" i="1" s="1"/>
  <c r="M136" i="1"/>
  <c r="Y136" i="1" s="1"/>
  <c r="Y129" i="1"/>
  <c r="Q312" i="1"/>
  <c r="Q316" i="1" s="1"/>
  <c r="W154" i="1"/>
  <c r="K195" i="1" s="1"/>
  <c r="W156" i="1"/>
  <c r="K199" i="1" s="1"/>
  <c r="W155" i="1"/>
  <c r="K197" i="1" s="1"/>
  <c r="M132" i="1"/>
  <c r="Y132" i="1" s="1"/>
  <c r="M155" i="1" l="1"/>
  <c r="M156" i="1"/>
  <c r="M154" i="1"/>
  <c r="R156" i="1"/>
  <c r="O199" i="1" s="1"/>
  <c r="R154" i="1"/>
  <c r="O195" i="1" s="1"/>
  <c r="R155" i="1"/>
  <c r="O197" i="1" s="1"/>
  <c r="R153" i="1"/>
  <c r="O194" i="1" s="1"/>
  <c r="F154" i="1"/>
  <c r="S195" i="1" s="1"/>
  <c r="F153" i="1"/>
  <c r="AA154" i="1"/>
  <c r="K196" i="1" s="1"/>
  <c r="AA156" i="1"/>
  <c r="K200" i="1" s="1"/>
  <c r="Y135" i="1"/>
  <c r="R174" i="1"/>
  <c r="F156" i="1"/>
  <c r="S200" i="1" s="1"/>
  <c r="F155" i="1"/>
  <c r="S197" i="1" s="1"/>
  <c r="R173" i="1"/>
  <c r="Q336" i="1" l="1"/>
  <c r="Q442" i="1" s="1"/>
  <c r="S194" i="1"/>
  <c r="Q314" i="1"/>
  <c r="Q338" i="1" s="1"/>
  <c r="Q415" i="1" s="1"/>
  <c r="H154" i="1"/>
  <c r="O196" i="1" s="1"/>
  <c r="H156" i="1"/>
  <c r="O200" i="1" s="1"/>
  <c r="H155" i="1"/>
  <c r="O198" i="1" s="1"/>
  <c r="S196" i="1"/>
  <c r="S198" i="1"/>
  <c r="S199" i="1"/>
  <c r="Q362" i="1" l="1"/>
  <c r="Q363" i="1" s="1"/>
  <c r="Q457" i="1"/>
  <c r="Q465" i="1" s="1"/>
  <c r="Q487" i="1" s="1"/>
  <c r="Q488" i="1" s="1"/>
  <c r="Q421" i="1"/>
  <c r="Q425" i="1" s="1"/>
  <c r="Q422" i="1"/>
  <c r="Q315" i="1"/>
  <c r="Q317" i="1" s="1"/>
  <c r="E329" i="1"/>
  <c r="E330" i="1"/>
  <c r="E328" i="1"/>
  <c r="E331" i="1"/>
  <c r="Q361" i="1" l="1"/>
  <c r="Q456" i="1"/>
  <c r="Q458" i="1"/>
  <c r="Q383" i="1"/>
  <c r="Q428" i="1"/>
  <c r="Q426" i="1"/>
  <c r="Q486" i="1" l="1"/>
  <c r="Q382" i="1"/>
  <c r="R384" i="1"/>
</calcChain>
</file>

<file path=xl/sharedStrings.xml><?xml version="1.0" encoding="utf-8"?>
<sst xmlns="http://schemas.openxmlformats.org/spreadsheetml/2006/main" count="638" uniqueCount="444">
  <si>
    <t>ft</t>
  </si>
  <si>
    <t>kip</t>
  </si>
  <si>
    <t>Description</t>
  </si>
  <si>
    <t>Application</t>
  </si>
  <si>
    <t>Service I</t>
  </si>
  <si>
    <t>ksi</t>
  </si>
  <si>
    <t>GENERAL INFORMATION</t>
  </si>
  <si>
    <t>f'c =</t>
  </si>
  <si>
    <t>fy =</t>
  </si>
  <si>
    <t>MATERIAL PROPERTIES</t>
  </si>
  <si>
    <t>APPLIED LOADS</t>
  </si>
  <si>
    <t>DC - dead load of structural components and nonstructural attachments</t>
  </si>
  <si>
    <t>Area</t>
  </si>
  <si>
    <t>pcf</t>
  </si>
  <si>
    <t>-</t>
  </si>
  <si>
    <t>psf</t>
  </si>
  <si>
    <t>Grade 60 Reinforcing Steel</t>
  </si>
  <si>
    <t>Shaft Depth</t>
  </si>
  <si>
    <t>Shaft Diameter</t>
  </si>
  <si>
    <t>Pole Top Diameter (o.d.)</t>
  </si>
  <si>
    <t>Pole Length</t>
  </si>
  <si>
    <t>SIGN PANEL GEOMETRY INFORMATION</t>
  </si>
  <si>
    <t>Sign Panel 1</t>
  </si>
  <si>
    <t>Length</t>
  </si>
  <si>
    <t>Number of Sign Panels</t>
  </si>
  <si>
    <t>Height</t>
  </si>
  <si>
    <t>LL - live load is considered for designing members for walkways and service platforms</t>
  </si>
  <si>
    <t>Dead Loads (DC)</t>
  </si>
  <si>
    <t>r1 =</t>
  </si>
  <si>
    <t xml:space="preserve">L = </t>
  </si>
  <si>
    <t xml:space="preserve">ft </t>
  </si>
  <si>
    <t xml:space="preserve">r2 = </t>
  </si>
  <si>
    <t xml:space="preserve">A = </t>
  </si>
  <si>
    <t>Pole</t>
  </si>
  <si>
    <t>Horizontal Beam</t>
  </si>
  <si>
    <t>Directionality Factor</t>
  </si>
  <si>
    <t>Gust Effect Factor</t>
  </si>
  <si>
    <t xml:space="preserve">Basic Wind Speed </t>
  </si>
  <si>
    <t>Wind Load (x-direction)</t>
  </si>
  <si>
    <t>G =</t>
  </si>
  <si>
    <t>mph</t>
  </si>
  <si>
    <t>Wind Loads (W)</t>
  </si>
  <si>
    <t>Live Loads (LL)</t>
  </si>
  <si>
    <t>yes</t>
  </si>
  <si>
    <t>no</t>
  </si>
  <si>
    <t>Mean Recurrence Interval</t>
  </si>
  <si>
    <t>V =</t>
  </si>
  <si>
    <t>MRI =</t>
  </si>
  <si>
    <t>Kz</t>
  </si>
  <si>
    <t>Height z, ft</t>
  </si>
  <si>
    <t>&gt;15</t>
  </si>
  <si>
    <t>Velocity Conversion Factor</t>
  </si>
  <si>
    <t>1. LOAD CALCULATION</t>
  </si>
  <si>
    <t>Load</t>
  </si>
  <si>
    <t>LL</t>
  </si>
  <si>
    <t>Y</t>
  </si>
  <si>
    <t>X</t>
  </si>
  <si>
    <t>Z</t>
  </si>
  <si>
    <t>Load (kip)</t>
  </si>
  <si>
    <t>Load Direction (x,y,z)</t>
  </si>
  <si>
    <t>Moment Direction (x,y,z)</t>
  </si>
  <si>
    <t>Wind Load on Pole (z-direction)</t>
  </si>
  <si>
    <t>Pole Weight</t>
  </si>
  <si>
    <t>Sign Weight</t>
  </si>
  <si>
    <t>Misc. Weight</t>
  </si>
  <si>
    <t>Live Load</t>
  </si>
  <si>
    <t>Load Combination</t>
  </si>
  <si>
    <t>Strength I</t>
  </si>
  <si>
    <t>Gravity</t>
  </si>
  <si>
    <t>Translation</t>
  </si>
  <si>
    <t>Axial (kip)</t>
  </si>
  <si>
    <t>Wind max</t>
  </si>
  <si>
    <t>Wind min</t>
  </si>
  <si>
    <t>Extreme Ia</t>
  </si>
  <si>
    <t>Extreme Ib</t>
  </si>
  <si>
    <t xml:space="preserve">Run static L-PILE analysis with parameters from geotechnical report and calculated factored loads. </t>
  </si>
  <si>
    <t>Soil Properties</t>
  </si>
  <si>
    <t>*From Geotechnical Report</t>
  </si>
  <si>
    <t>Top of Boring Elevation</t>
  </si>
  <si>
    <t>Soil Type</t>
  </si>
  <si>
    <t>Bottom of Boring Elevation</t>
  </si>
  <si>
    <t>Stiff Clay w/o free water using k</t>
  </si>
  <si>
    <t>Unit Weight (pcf)</t>
  </si>
  <si>
    <t>Friction Angle (degrees)</t>
  </si>
  <si>
    <t>Cohesion (psf)</t>
  </si>
  <si>
    <t>k (pci)</t>
  </si>
  <si>
    <t>Section</t>
  </si>
  <si>
    <t>Length of Section</t>
  </si>
  <si>
    <t>Section Diameter</t>
  </si>
  <si>
    <t>Round Concrete Shaft</t>
  </si>
  <si>
    <t>#</t>
  </si>
  <si>
    <t>Load Case</t>
  </si>
  <si>
    <t>Pile-Head Loading Condition</t>
  </si>
  <si>
    <t>Axial (lb)</t>
  </si>
  <si>
    <t>Shear (lb)</t>
  </si>
  <si>
    <t>Shear in the x-axis (kip)</t>
  </si>
  <si>
    <t>Reinforcement</t>
  </si>
  <si>
    <t>Area of Steel</t>
  </si>
  <si>
    <t>Percentage of Steel</t>
  </si>
  <si>
    <t>Maximum Pile-Head Deflection</t>
  </si>
  <si>
    <t>Maximum Shear Force</t>
  </si>
  <si>
    <t>Maximum Bending Moment</t>
  </si>
  <si>
    <t>Axial Thrust at Max Moment Case</t>
  </si>
  <si>
    <t>lbs</t>
  </si>
  <si>
    <t>lb-in</t>
  </si>
  <si>
    <t>End Bearing Factor</t>
  </si>
  <si>
    <t>Side Resistance Factor</t>
  </si>
  <si>
    <t>Applied Vertical Load</t>
  </si>
  <si>
    <t>ksf</t>
  </si>
  <si>
    <t>Aluminum: Sign Panels</t>
  </si>
  <si>
    <t>*Assumed 7/32" Sign Thickness</t>
  </si>
  <si>
    <t>(Other loads not listed here may be applicable for different design cases.)</t>
  </si>
  <si>
    <t>*Weight is based on the typical weight of steel and aluminum</t>
  </si>
  <si>
    <t>AASHTO LTS 3</t>
  </si>
  <si>
    <t>AASHTO LTS 3.5</t>
  </si>
  <si>
    <t>AASHTO LTS 3.6</t>
  </si>
  <si>
    <t>AASHTO LTS 3.8</t>
  </si>
  <si>
    <t>AASHTO LTS 3.8.5</t>
  </si>
  <si>
    <t>AASHTO LTS 3.8.6</t>
  </si>
  <si>
    <t>AASHTO LTS 3.8.7</t>
  </si>
  <si>
    <t xml:space="preserve">Velocity Conversion Factor - Ext Event </t>
  </si>
  <si>
    <t>AASHTO LTS Eq. 3.8.1-1</t>
  </si>
  <si>
    <t>AASHTO Eq. 10.8.3.5-1</t>
  </si>
  <si>
    <t>Unit End Bearing Resistance</t>
  </si>
  <si>
    <t>Unit Side Resistance</t>
  </si>
  <si>
    <t>AASHTO Eq. 10.8.3.5-2</t>
  </si>
  <si>
    <t>AASHTO Eq. 10.8.3.5-3</t>
  </si>
  <si>
    <t>Length of Section in Bedrock</t>
  </si>
  <si>
    <t>Check</t>
  </si>
  <si>
    <t>LOAD COMBINATIONS</t>
  </si>
  <si>
    <t>L-PILE INPUT</t>
  </si>
  <si>
    <t>INPUT LOADS</t>
  </si>
  <si>
    <t>L-PILE OUTPUT</t>
  </si>
  <si>
    <t>Bar Size</t>
  </si>
  <si>
    <t>Bar Dia.</t>
  </si>
  <si>
    <t>Bar Area</t>
  </si>
  <si>
    <t>Bar Wt</t>
  </si>
  <si>
    <t>Concrete Compressive Strength</t>
  </si>
  <si>
    <t>Concrete Unit Weight</t>
  </si>
  <si>
    <t>Steel Density</t>
  </si>
  <si>
    <t>Aluminum Density</t>
  </si>
  <si>
    <t>Pole Base Diameter (outside diameter, o.d.)</t>
  </si>
  <si>
    <t>Drag Coefficient for Sign Panels</t>
  </si>
  <si>
    <t>Pole Surface Area (along x axis)</t>
  </si>
  <si>
    <t xml:space="preserve">Pole Surface Area (along z axis) </t>
  </si>
  <si>
    <t>Sign Panels Surface Area (along x axis)</t>
  </si>
  <si>
    <t>Wind Pressure on Members</t>
  </si>
  <si>
    <t>Wind Pressure on Sign Panels</t>
  </si>
  <si>
    <t>Drag Coefficient for Members</t>
  </si>
  <si>
    <t>EXAMPLE 10 - SIGN STRUCTURE FOUNDATION DESIGN</t>
  </si>
  <si>
    <t>Steel: Reinforcing Steel</t>
  </si>
  <si>
    <t>Pole Wall Thickness</t>
  </si>
  <si>
    <t>SIGN STRUCTURE GEOMETRY INFORMATION (Refer to Figure 1)</t>
  </si>
  <si>
    <t>Arm Length</t>
  </si>
  <si>
    <t>Arm Base Diameter (o.d.)</t>
  </si>
  <si>
    <t>Arm End Diameter (o.d.)</t>
  </si>
  <si>
    <t>Arm Wall Thickness</t>
  </si>
  <si>
    <t>Ice Loads (ICE)</t>
  </si>
  <si>
    <t>AASHTO LTS 3.7</t>
  </si>
  <si>
    <t>Arm Surface Area (along x axis)</t>
  </si>
  <si>
    <t>Wind on Pole</t>
  </si>
  <si>
    <t>Wind on Signs &amp; Arm</t>
  </si>
  <si>
    <t>Shear in the X Direction is paired with Moment in the Z Direction</t>
  </si>
  <si>
    <t>Shear in the Z Direction is paired with Moment in the X Direction</t>
  </si>
  <si>
    <t>AASHTO 5.10.3.1.1</t>
  </si>
  <si>
    <t>Spacing Check for Min Spacing</t>
  </si>
  <si>
    <t>Clear Distance Between Bars</t>
  </si>
  <si>
    <t>Min Clear Allowed, Max(5*Agg Size, 5") =</t>
  </si>
  <si>
    <t>Depth in Bedrock</t>
  </si>
  <si>
    <t>End Bearing Resistance</t>
  </si>
  <si>
    <t>Side Shear Resistance</t>
  </si>
  <si>
    <t>Depth to Arm</t>
  </si>
  <si>
    <t>Top of Soil Elev.</t>
  </si>
  <si>
    <t>Arm Weight</t>
  </si>
  <si>
    <t>*Assumed to be 50% of Sign Weight</t>
  </si>
  <si>
    <t>AASHTO 5.5.4.2</t>
  </si>
  <si>
    <t>Steel: Steel Members</t>
  </si>
  <si>
    <t>Geotechnical Report</t>
  </si>
  <si>
    <t>SUMMARY OF FACTORED LOADS AND MOMENTS AT TOP OF SHAFT</t>
  </si>
  <si>
    <t>2. SHAFT CAPACITY</t>
  </si>
  <si>
    <t>Top of Shaft Elevation</t>
  </si>
  <si>
    <t>Bottom of Shaft Elevation</t>
  </si>
  <si>
    <t>Shaft Section Properties</t>
  </si>
  <si>
    <t>Shaft End Bearing Area</t>
  </si>
  <si>
    <t>Shaft Perimeter</t>
  </si>
  <si>
    <t>W - wind load is based on the pressure of the wind acting horizontally on all components</t>
  </si>
  <si>
    <t>Is LL applicable?</t>
  </si>
  <si>
    <t>Is ICE applicable?</t>
  </si>
  <si>
    <t>Misc. Weight (Anchors and Sign Support)</t>
  </si>
  <si>
    <t>Existing Ground</t>
  </si>
  <si>
    <t>AASHTO LTS Eq. 3.8.4-1</t>
  </si>
  <si>
    <t>Height and Exposure Factor for Signs and Arm</t>
  </si>
  <si>
    <t>Height and Exposure Factor for Pole</t>
  </si>
  <si>
    <t>*rounded up</t>
  </si>
  <si>
    <t>UNFACTORED LOADS AND MOMENTS AT TOP OF SHAFT</t>
  </si>
  <si>
    <t>Moments taken about the centerline of the shaft</t>
  </si>
  <si>
    <t>AASHTO LTS T3.4-1</t>
  </si>
  <si>
    <t>Wind on Signs</t>
  </si>
  <si>
    <t>Wind on Arm</t>
  </si>
  <si>
    <t>Wind Load on Signs (z-direction)</t>
  </si>
  <si>
    <t>Wind Load on Arm (z-direction)</t>
  </si>
  <si>
    <t>*Agg size assumed to be 0.75"</t>
  </si>
  <si>
    <t xml:space="preserve">Concrete Cover to Inside Edge of Stirrup Bar </t>
  </si>
  <si>
    <t>Ultimate Shaft Resistance</t>
  </si>
  <si>
    <t>ɸ</t>
  </si>
  <si>
    <t>AXIAL RESISTANCE</t>
  </si>
  <si>
    <t>BENDING RESISTANCE</t>
  </si>
  <si>
    <t>SHEAR AND TORSION RESISTANCE</t>
  </si>
  <si>
    <t>Shear Force</t>
  </si>
  <si>
    <t>Torsion</t>
  </si>
  <si>
    <t>Flexure</t>
  </si>
  <si>
    <t>Tension</t>
  </si>
  <si>
    <t>Concrete Cover to Reinforcing &amp; Bar Size:</t>
  </si>
  <si>
    <t>Side Cover</t>
  </si>
  <si>
    <t>clr =</t>
  </si>
  <si>
    <t>Moment 
(lb-in)</t>
  </si>
  <si>
    <t>Nominal Resistance</t>
  </si>
  <si>
    <t>Area of Flexural Reinforcement</t>
  </si>
  <si>
    <t>Depth to Flexural Reinforcement</t>
  </si>
  <si>
    <t>Half of the reinforcement in shaft</t>
  </si>
  <si>
    <t>Dia of Circle Passing Through Long. Reinf</t>
  </si>
  <si>
    <t>Stirrup Bar Diameter</t>
  </si>
  <si>
    <t>L-Pile Output</t>
  </si>
  <si>
    <t>Torsional Cracking Moment</t>
  </si>
  <si>
    <t>Area of Concrete Perimeter</t>
  </si>
  <si>
    <t>Concrete Perimeter</t>
  </si>
  <si>
    <t>Compressive Stress at Centroid of Section</t>
  </si>
  <si>
    <t>Design Factored Shear Force</t>
  </si>
  <si>
    <t>Shear Stress on Concrete</t>
  </si>
  <si>
    <t>Effective Shear Depth</t>
  </si>
  <si>
    <t>max of</t>
  </si>
  <si>
    <t>0.72*h =</t>
  </si>
  <si>
    <t>Shear Stress</t>
  </si>
  <si>
    <t>Phi for Shear and Torsion</t>
  </si>
  <si>
    <t>Maximum Nominal Shear Resistance</t>
  </si>
  <si>
    <t>Nominal Shear Resistance</t>
  </si>
  <si>
    <t>Minimum Transverse Reinforcement</t>
  </si>
  <si>
    <t>Stirrup Size</t>
  </si>
  <si>
    <t>Longitudinal Rebar Size</t>
  </si>
  <si>
    <t>Longitudinal Rebar Count</t>
  </si>
  <si>
    <t>Stirrup Spacing</t>
  </si>
  <si>
    <t>Nominal Shear Resistance of Concrete</t>
  </si>
  <si>
    <t>Transverse Reinforcement</t>
  </si>
  <si>
    <t>Transverse Reinforcement is required where:</t>
  </si>
  <si>
    <t>Maximum Spacing of Transverse Reinforcement</t>
  </si>
  <si>
    <t>The maximum factored moment is less than the maximum resistance moment. The shaft is considered stable per the reinforcement and size.</t>
  </si>
  <si>
    <t>Concrete:  CDOT Concrete Class BZ</t>
  </si>
  <si>
    <t>ft.</t>
  </si>
  <si>
    <t>in.</t>
  </si>
  <si>
    <t xml:space="preserve">Use the load combinations and factors from AASHTO LTS T3.4-1 for all loads acting on the sign structure. Determine the loads at the top of the shaft foundation: </t>
  </si>
  <si>
    <t>Moment Arm (ft.)</t>
  </si>
  <si>
    <t>Moment at the Top of the Caisson (kip-ft.)</t>
  </si>
  <si>
    <t>Moment about x-axis (kip-ft.)</t>
  </si>
  <si>
    <t>The maximum deflection, at the top of the caisson is 0.0043", which is considered zero; therefore, the shaft is deemed stable for the length used per the Engineer's judgment.</t>
  </si>
  <si>
    <t>Bending Moment (in-kip) vs Depth (ft.)</t>
  </si>
  <si>
    <t>Shear Force (kips) vs 
Depth (ft.)</t>
  </si>
  <si>
    <t>Lateral Pile Deflection (in.) vs Depth (ft.)</t>
  </si>
  <si>
    <t>L-Pile provides Nominal Moment Resistance for each axial value.</t>
  </si>
  <si>
    <t>k-ft.</t>
  </si>
  <si>
    <t>k-in.</t>
  </si>
  <si>
    <t>ICE - ice and wind on ice do not practically control and have been removed from the specifications</t>
  </si>
  <si>
    <t>L-Pile models in only one plane, therefore:</t>
  </si>
  <si>
    <t>The maximum factored applied moment from each L-Pile case with varying axial is compared to the 
nominal moment resistance provided by L-Pile.</t>
  </si>
  <si>
    <t>Net Longitudinal Tensile Strain</t>
  </si>
  <si>
    <t>Moment about
y-axis* (kip-ft.)</t>
  </si>
  <si>
    <t>Moment about
z-axis (kip-ft.)</t>
  </si>
  <si>
    <t>Shear in the
z-axis (kip)</t>
  </si>
  <si>
    <t>Figure 1 - Sign Structure Geometry Information</t>
  </si>
  <si>
    <t>BDM 5.4.3</t>
  </si>
  <si>
    <t>BDM 32.3.1.3</t>
  </si>
  <si>
    <t>AASHTO 5.12.9.5.2</t>
  </si>
  <si>
    <t>AASHTO 5.7.2.1</t>
  </si>
  <si>
    <t>AASHTO Eq.5.7.2.1-4</t>
  </si>
  <si>
    <t>AASHTO Eq. 5.7.2.1-3</t>
  </si>
  <si>
    <t>AASHTO Eq.5.7.2.1-6</t>
  </si>
  <si>
    <t>K =</t>
  </si>
  <si>
    <t>AASHTO 5.7.2.8</t>
  </si>
  <si>
    <t>AASHTO Eq. 5.7.2.8-1</t>
  </si>
  <si>
    <t>AASHTO Eq. 5.7.2.3-1</t>
  </si>
  <si>
    <t>AASHTO Eq. 5.7.2.5-1</t>
  </si>
  <si>
    <t>AASHTO 5.7.2.6</t>
  </si>
  <si>
    <t>AASHTO Eq. 5.7.2.6-1</t>
  </si>
  <si>
    <t>AASHTO Eq. 5.7.2.6-2</t>
  </si>
  <si>
    <t>AASHTO 5.7.3.3</t>
  </si>
  <si>
    <t>AASHTO Eq. 5.7.3.3-2</t>
  </si>
  <si>
    <t>AASHTO Eq. 5.7.3.4.2-4</t>
  </si>
  <si>
    <t>For sections containing at least the minimum amount of transverse reinforcement specified in Art. 5.7.2.5, the value of β may be determined by the following equation:</t>
  </si>
  <si>
    <t>AASHTO Eq. 5.7.3.4.2-1</t>
  </si>
  <si>
    <t>AASHTO Eq. 5.7.3.4.2-3</t>
  </si>
  <si>
    <t>AASHTO Eq. 5.7.3.3-3</t>
  </si>
  <si>
    <t>*The side shear resistance of soil for torsion effects is checked at the end of this example.</t>
  </si>
  <si>
    <t>Side Shear Resistance of Soil in Torsion</t>
  </si>
  <si>
    <t>Cohesive Soil Resistance</t>
  </si>
  <si>
    <t>in</t>
  </si>
  <si>
    <t>Assumed Phi for Torsion, per SF = 1.25</t>
  </si>
  <si>
    <t>Cohesionless Soil Resistance</t>
  </si>
  <si>
    <t>It is CDOT's approach that the soil resistance to torsion in cohesionless soils is based on the drilled shaft embedment into the soil. Perform the following check if the drilled shaft is in cohesionless soil.</t>
  </si>
  <si>
    <t>Soil profile used for example</t>
  </si>
  <si>
    <t>degrees</t>
  </si>
  <si>
    <t>It is CDOT's approach that the soil resistance to torsion in cohesive soils is based on the drilled shaft embedment area into the soil, neglecting the top 1.5' of section length. Perform the following check if the drilled shaft is in cohesive soil.</t>
  </si>
  <si>
    <t>Per CDOT's experience, the soil torsion capacity may control the shaft length. If the drilled shaft sees torsion, the following applicable checks should be completed. Refer to Report No. CDOT-DTD-R-2004-8 for equations and procedure.</t>
  </si>
  <si>
    <t>Weight of Section</t>
  </si>
  <si>
    <t>W =</t>
  </si>
  <si>
    <t xml:space="preserve">Drilled shaft side resistance </t>
  </si>
  <si>
    <t>Drilled shaft toe resistance</t>
  </si>
  <si>
    <t>Unit shaft side resistance</t>
  </si>
  <si>
    <t>Coefficient of lateral earth pressure</t>
  </si>
  <si>
    <t>Nominal Total Torsion Resistance</t>
  </si>
  <si>
    <r>
      <rPr>
        <b/>
        <sz val="9"/>
        <color theme="1"/>
        <rFont val="Arial"/>
        <family val="2"/>
      </rPr>
      <t>Example Statement:</t>
    </r>
    <r>
      <rPr>
        <sz val="9"/>
        <color theme="1"/>
        <rFont val="Arial"/>
        <family val="2"/>
      </rPr>
      <t xml:space="preserve"> Example 10 demonstrates a design procedure for a drilled shaft foundation for a cantilever sign structure. The cantilever supports a sign panel attached to the horizontal support. The example is only for the design of the shaft foundation. It does not discuss cover design of the members and attachment. 
The design follows the LRFD Specifications for Structural Supports for Highway Signs, Luminaires, and Traffic Signals, First Edition 2015, with 2017 updates (AASHTO LTS), with references to AASHTO LRFD Bridge Design Specifications, 8th Edition (AASHTO). Example 10 was designed with a geotechnical investigation performed on the soil. If one does not have geotechnical data, it is CDOT's preference to use the Brom's method in Section 13 of the AASHTO LTS to determine shaft embedment.</t>
    </r>
  </si>
  <si>
    <r>
      <rPr>
        <sz val="9"/>
        <rFont val="Cambria"/>
        <family val="1"/>
      </rPr>
      <t>γ</t>
    </r>
    <r>
      <rPr>
        <vertAlign val="subscript"/>
        <sz val="9"/>
        <rFont val="Candara"/>
        <family val="2"/>
      </rPr>
      <t>c</t>
    </r>
    <r>
      <rPr>
        <sz val="9"/>
        <rFont val="Arial"/>
        <family val="2"/>
      </rPr>
      <t xml:space="preserve"> = </t>
    </r>
  </si>
  <si>
    <r>
      <rPr>
        <sz val="9"/>
        <rFont val="Cambria"/>
        <family val="1"/>
      </rPr>
      <t>γ</t>
    </r>
    <r>
      <rPr>
        <vertAlign val="subscript"/>
        <sz val="9"/>
        <rFont val="Candara"/>
        <family val="2"/>
      </rPr>
      <t>steel</t>
    </r>
    <r>
      <rPr>
        <sz val="9"/>
        <rFont val="Arial"/>
        <family val="2"/>
      </rPr>
      <t xml:space="preserve"> = </t>
    </r>
  </si>
  <si>
    <r>
      <rPr>
        <sz val="9"/>
        <rFont val="Cambria"/>
        <family val="1"/>
      </rPr>
      <t>γ</t>
    </r>
    <r>
      <rPr>
        <vertAlign val="subscript"/>
        <sz val="9"/>
        <rFont val="Candara"/>
        <family val="2"/>
      </rPr>
      <t>aluminum</t>
    </r>
    <r>
      <rPr>
        <sz val="9"/>
        <rFont val="Arial"/>
        <family val="2"/>
      </rPr>
      <t xml:space="preserve"> = </t>
    </r>
  </si>
  <si>
    <r>
      <t>L</t>
    </r>
    <r>
      <rPr>
        <vertAlign val="subscript"/>
        <sz val="9"/>
        <rFont val="Arial"/>
        <family val="2"/>
      </rPr>
      <t>pole</t>
    </r>
    <r>
      <rPr>
        <sz val="9"/>
        <rFont val="Arial"/>
        <family val="2"/>
      </rPr>
      <t xml:space="preserve"> =</t>
    </r>
  </si>
  <si>
    <r>
      <rPr>
        <sz val="9"/>
        <color theme="1"/>
        <rFont val="Calibri"/>
        <family val="2"/>
      </rPr>
      <t>ø</t>
    </r>
    <r>
      <rPr>
        <vertAlign val="subscript"/>
        <sz val="9"/>
        <rFont val="Arial"/>
        <family val="2"/>
      </rPr>
      <t>pole-B</t>
    </r>
    <r>
      <rPr>
        <sz val="9"/>
        <rFont val="Arial"/>
        <family val="2"/>
      </rPr>
      <t xml:space="preserve"> =</t>
    </r>
  </si>
  <si>
    <r>
      <rPr>
        <sz val="9"/>
        <color theme="1"/>
        <rFont val="Calibri"/>
        <family val="2"/>
      </rPr>
      <t>ø</t>
    </r>
    <r>
      <rPr>
        <vertAlign val="subscript"/>
        <sz val="9"/>
        <rFont val="Arial"/>
        <family val="2"/>
      </rPr>
      <t>pole-T</t>
    </r>
    <r>
      <rPr>
        <sz val="9"/>
        <rFont val="Arial"/>
        <family val="2"/>
      </rPr>
      <t xml:space="preserve"> =</t>
    </r>
  </si>
  <si>
    <r>
      <t>t</t>
    </r>
    <r>
      <rPr>
        <vertAlign val="subscript"/>
        <sz val="9"/>
        <rFont val="Arial"/>
        <family val="2"/>
      </rPr>
      <t>pole</t>
    </r>
    <r>
      <rPr>
        <sz val="9"/>
        <rFont val="Arial"/>
        <family val="2"/>
      </rPr>
      <t xml:space="preserve"> =</t>
    </r>
  </si>
  <si>
    <r>
      <t>D</t>
    </r>
    <r>
      <rPr>
        <vertAlign val="subscript"/>
        <sz val="9"/>
        <color theme="1"/>
        <rFont val="Arial"/>
        <family val="2"/>
      </rPr>
      <t xml:space="preserve">arm </t>
    </r>
    <r>
      <rPr>
        <sz val="9"/>
        <color theme="1"/>
        <rFont val="Arial"/>
        <family val="2"/>
      </rPr>
      <t>=</t>
    </r>
  </si>
  <si>
    <r>
      <t>L</t>
    </r>
    <r>
      <rPr>
        <vertAlign val="subscript"/>
        <sz val="9"/>
        <color theme="1"/>
        <rFont val="Arial"/>
        <family val="2"/>
      </rPr>
      <t xml:space="preserve">arm </t>
    </r>
    <r>
      <rPr>
        <sz val="9"/>
        <color theme="1"/>
        <rFont val="Arial"/>
        <family val="2"/>
      </rPr>
      <t>=</t>
    </r>
  </si>
  <si>
    <r>
      <rPr>
        <sz val="9"/>
        <color theme="1"/>
        <rFont val="Calibri"/>
        <family val="2"/>
      </rPr>
      <t>ø</t>
    </r>
    <r>
      <rPr>
        <vertAlign val="subscript"/>
        <sz val="9"/>
        <rFont val="Arial"/>
        <family val="2"/>
      </rPr>
      <t>arm-B</t>
    </r>
    <r>
      <rPr>
        <sz val="9"/>
        <rFont val="Arial"/>
        <family val="2"/>
      </rPr>
      <t xml:space="preserve"> =</t>
    </r>
  </si>
  <si>
    <r>
      <rPr>
        <sz val="9"/>
        <color theme="1"/>
        <rFont val="Calibri"/>
        <family val="2"/>
      </rPr>
      <t>ø</t>
    </r>
    <r>
      <rPr>
        <vertAlign val="subscript"/>
        <sz val="9"/>
        <rFont val="Arial"/>
        <family val="2"/>
      </rPr>
      <t>arm-E</t>
    </r>
    <r>
      <rPr>
        <sz val="9"/>
        <rFont val="Arial"/>
        <family val="2"/>
      </rPr>
      <t xml:space="preserve"> =</t>
    </r>
  </si>
  <si>
    <r>
      <t>t</t>
    </r>
    <r>
      <rPr>
        <vertAlign val="subscript"/>
        <sz val="9"/>
        <rFont val="Arial"/>
        <family val="2"/>
      </rPr>
      <t>arm</t>
    </r>
    <r>
      <rPr>
        <sz val="9"/>
        <rFont val="Arial"/>
        <family val="2"/>
      </rPr>
      <t xml:space="preserve"> =</t>
    </r>
  </si>
  <si>
    <r>
      <t>D</t>
    </r>
    <r>
      <rPr>
        <vertAlign val="subscript"/>
        <sz val="9"/>
        <color theme="1"/>
        <rFont val="Arial"/>
        <family val="2"/>
      </rPr>
      <t xml:space="preserve">shaft </t>
    </r>
    <r>
      <rPr>
        <sz val="9"/>
        <color theme="1"/>
        <rFont val="Arial"/>
        <family val="2"/>
      </rPr>
      <t>=</t>
    </r>
  </si>
  <si>
    <r>
      <rPr>
        <sz val="9"/>
        <color theme="1"/>
        <rFont val="Calibri"/>
        <family val="2"/>
      </rPr>
      <t>ø</t>
    </r>
    <r>
      <rPr>
        <vertAlign val="subscript"/>
        <sz val="9"/>
        <rFont val="Arial"/>
        <family val="2"/>
      </rPr>
      <t>shaft</t>
    </r>
    <r>
      <rPr>
        <sz val="9"/>
        <rFont val="Arial"/>
        <family val="2"/>
      </rPr>
      <t xml:space="preserve"> =</t>
    </r>
  </si>
  <si>
    <r>
      <t>L</t>
    </r>
    <r>
      <rPr>
        <vertAlign val="subscript"/>
        <sz val="9"/>
        <color theme="1"/>
        <rFont val="Arial"/>
        <family val="2"/>
      </rPr>
      <t>arm</t>
    </r>
    <r>
      <rPr>
        <sz val="9"/>
        <color theme="1"/>
        <rFont val="Arial"/>
        <family val="2"/>
      </rPr>
      <t xml:space="preserve"> = </t>
    </r>
  </si>
  <si>
    <r>
      <rPr>
        <sz val="9"/>
        <color theme="1"/>
        <rFont val="Calibri"/>
        <family val="2"/>
      </rPr>
      <t>ø</t>
    </r>
    <r>
      <rPr>
        <vertAlign val="subscript"/>
        <sz val="9"/>
        <color theme="1"/>
        <rFont val="Arial"/>
        <family val="2"/>
      </rPr>
      <t>pole-T</t>
    </r>
    <r>
      <rPr>
        <sz val="9"/>
        <color theme="1"/>
        <rFont val="Arial"/>
        <family val="2"/>
      </rPr>
      <t xml:space="preserve"> = </t>
    </r>
  </si>
  <si>
    <r>
      <t>e</t>
    </r>
    <r>
      <rPr>
        <vertAlign val="subscript"/>
        <sz val="9"/>
        <color theme="1"/>
        <rFont val="Arial"/>
        <family val="2"/>
      </rPr>
      <t>sp</t>
    </r>
    <r>
      <rPr>
        <sz val="9"/>
        <color theme="1"/>
        <rFont val="Arial"/>
        <family val="2"/>
      </rPr>
      <t xml:space="preserve"> =</t>
    </r>
  </si>
  <si>
    <r>
      <t>D</t>
    </r>
    <r>
      <rPr>
        <vertAlign val="subscript"/>
        <sz val="9"/>
        <color theme="1"/>
        <rFont val="Arial"/>
        <family val="2"/>
      </rPr>
      <t>arm</t>
    </r>
    <r>
      <rPr>
        <sz val="9"/>
        <color theme="1"/>
        <rFont val="Arial"/>
        <family val="2"/>
      </rPr>
      <t xml:space="preserve"> = </t>
    </r>
  </si>
  <si>
    <r>
      <t>H</t>
    </r>
    <r>
      <rPr>
        <vertAlign val="subscript"/>
        <sz val="9"/>
        <color theme="1"/>
        <rFont val="Arial"/>
        <family val="2"/>
      </rPr>
      <t>sp</t>
    </r>
    <r>
      <rPr>
        <sz val="9"/>
        <color theme="1"/>
        <rFont val="Arial"/>
        <family val="2"/>
      </rPr>
      <t xml:space="preserve"> = </t>
    </r>
  </si>
  <si>
    <r>
      <t>L</t>
    </r>
    <r>
      <rPr>
        <vertAlign val="subscript"/>
        <sz val="9"/>
        <color theme="1"/>
        <rFont val="Arial"/>
        <family val="2"/>
      </rPr>
      <t>sp</t>
    </r>
    <r>
      <rPr>
        <sz val="9"/>
        <color theme="1"/>
        <rFont val="Arial"/>
        <family val="2"/>
      </rPr>
      <t xml:space="preserve"> = </t>
    </r>
  </si>
  <si>
    <r>
      <t>L</t>
    </r>
    <r>
      <rPr>
        <vertAlign val="subscript"/>
        <sz val="9"/>
        <color theme="1"/>
        <rFont val="Arial"/>
        <family val="2"/>
      </rPr>
      <t>pole</t>
    </r>
    <r>
      <rPr>
        <sz val="9"/>
        <color theme="1"/>
        <rFont val="Arial"/>
        <family val="2"/>
      </rPr>
      <t xml:space="preserve"> = </t>
    </r>
  </si>
  <si>
    <r>
      <rPr>
        <sz val="9"/>
        <color theme="1"/>
        <rFont val="Calibri"/>
        <family val="2"/>
      </rPr>
      <t>ø</t>
    </r>
    <r>
      <rPr>
        <vertAlign val="subscript"/>
        <sz val="9"/>
        <color theme="1"/>
        <rFont val="Arial"/>
        <family val="2"/>
      </rPr>
      <t>arm-E</t>
    </r>
    <r>
      <rPr>
        <sz val="9"/>
        <color theme="1"/>
        <rFont val="Arial"/>
        <family val="2"/>
      </rPr>
      <t xml:space="preserve"> = </t>
    </r>
  </si>
  <si>
    <r>
      <rPr>
        <sz val="9"/>
        <color theme="1"/>
        <rFont val="Calibri"/>
        <family val="2"/>
      </rPr>
      <t>ø</t>
    </r>
    <r>
      <rPr>
        <vertAlign val="subscript"/>
        <sz val="9"/>
        <color theme="1"/>
        <rFont val="Arial"/>
        <family val="2"/>
      </rPr>
      <t>arm-B</t>
    </r>
    <r>
      <rPr>
        <sz val="9"/>
        <color theme="1"/>
        <rFont val="Arial"/>
        <family val="2"/>
      </rPr>
      <t xml:space="preserve"> = </t>
    </r>
  </si>
  <si>
    <r>
      <rPr>
        <sz val="9"/>
        <color theme="1"/>
        <rFont val="Calibri"/>
        <family val="2"/>
      </rPr>
      <t>ø</t>
    </r>
    <r>
      <rPr>
        <vertAlign val="subscript"/>
        <sz val="9"/>
        <color theme="1"/>
        <rFont val="Arial"/>
        <family val="2"/>
      </rPr>
      <t>pole-B</t>
    </r>
    <r>
      <rPr>
        <sz val="9"/>
        <color theme="1"/>
        <rFont val="Arial"/>
        <family val="2"/>
      </rPr>
      <t xml:space="preserve"> = </t>
    </r>
  </si>
  <si>
    <r>
      <t>D</t>
    </r>
    <r>
      <rPr>
        <vertAlign val="subscript"/>
        <sz val="9"/>
        <color theme="1"/>
        <rFont val="Arial"/>
        <family val="2"/>
      </rPr>
      <t>shaft</t>
    </r>
    <r>
      <rPr>
        <sz val="9"/>
        <color theme="1"/>
        <rFont val="Arial"/>
        <family val="2"/>
      </rPr>
      <t xml:space="preserve"> = </t>
    </r>
  </si>
  <si>
    <r>
      <rPr>
        <sz val="9"/>
        <color theme="1"/>
        <rFont val="Calibri"/>
        <family val="2"/>
      </rPr>
      <t>ø</t>
    </r>
    <r>
      <rPr>
        <vertAlign val="subscript"/>
        <sz val="9"/>
        <color theme="1"/>
        <rFont val="Arial"/>
        <family val="2"/>
      </rPr>
      <t>shaft</t>
    </r>
    <r>
      <rPr>
        <sz val="9"/>
        <color theme="1"/>
        <rFont val="Arial"/>
        <family val="2"/>
      </rPr>
      <t xml:space="preserve"> = </t>
    </r>
  </si>
  <si>
    <r>
      <t>ft</t>
    </r>
    <r>
      <rPr>
        <vertAlign val="superscript"/>
        <sz val="9"/>
        <color theme="1"/>
        <rFont val="Times New Roman"/>
        <family val="1"/>
      </rPr>
      <t>2</t>
    </r>
  </si>
  <si>
    <r>
      <t>e</t>
    </r>
    <r>
      <rPr>
        <vertAlign val="subscript"/>
        <sz val="9"/>
        <color theme="1"/>
        <rFont val="Arial"/>
        <family val="2"/>
      </rPr>
      <t>sp</t>
    </r>
  </si>
  <si>
    <r>
      <t>ft.</t>
    </r>
    <r>
      <rPr>
        <vertAlign val="superscript"/>
        <sz val="9"/>
        <color theme="1"/>
        <rFont val="Arial"/>
        <family val="2"/>
      </rPr>
      <t>2</t>
    </r>
  </si>
  <si>
    <r>
      <t>DC</t>
    </r>
    <r>
      <rPr>
        <vertAlign val="subscript"/>
        <sz val="9"/>
        <rFont val="Arial"/>
        <family val="2"/>
      </rPr>
      <t>1</t>
    </r>
    <r>
      <rPr>
        <sz val="9"/>
        <rFont val="Arial"/>
        <family val="2"/>
      </rPr>
      <t xml:space="preserve"> =</t>
    </r>
  </si>
  <si>
    <r>
      <t>DC</t>
    </r>
    <r>
      <rPr>
        <vertAlign val="subscript"/>
        <sz val="9"/>
        <rFont val="Arial"/>
        <family val="2"/>
      </rPr>
      <t>2</t>
    </r>
    <r>
      <rPr>
        <sz val="9"/>
        <rFont val="Arial"/>
        <family val="2"/>
      </rPr>
      <t xml:space="preserve"> =</t>
    </r>
  </si>
  <si>
    <r>
      <t>DC</t>
    </r>
    <r>
      <rPr>
        <vertAlign val="subscript"/>
        <sz val="9"/>
        <rFont val="Arial"/>
        <family val="2"/>
      </rPr>
      <t>3</t>
    </r>
    <r>
      <rPr>
        <sz val="9"/>
        <rFont val="Arial"/>
        <family val="2"/>
      </rPr>
      <t xml:space="preserve"> =</t>
    </r>
  </si>
  <si>
    <r>
      <t>DC</t>
    </r>
    <r>
      <rPr>
        <vertAlign val="subscript"/>
        <sz val="9"/>
        <rFont val="Arial"/>
        <family val="2"/>
      </rPr>
      <t>4</t>
    </r>
    <r>
      <rPr>
        <sz val="9"/>
        <rFont val="Arial"/>
        <family val="2"/>
      </rPr>
      <t xml:space="preserve"> =</t>
    </r>
  </si>
  <si>
    <r>
      <t>K</t>
    </r>
    <r>
      <rPr>
        <vertAlign val="subscript"/>
        <sz val="9"/>
        <color theme="1"/>
        <rFont val="Times New Roman"/>
        <family val="2"/>
      </rPr>
      <t>z</t>
    </r>
    <r>
      <rPr>
        <sz val="9"/>
        <color theme="1"/>
        <rFont val="Arial"/>
        <family val="2"/>
      </rPr>
      <t xml:space="preserve"> =</t>
    </r>
  </si>
  <si>
    <r>
      <t>K</t>
    </r>
    <r>
      <rPr>
        <vertAlign val="subscript"/>
        <sz val="9"/>
        <color theme="1"/>
        <rFont val="Times New Roman"/>
        <family val="2"/>
      </rPr>
      <t>d</t>
    </r>
    <r>
      <rPr>
        <sz val="9"/>
        <color theme="1"/>
        <rFont val="Arial"/>
        <family val="2"/>
      </rPr>
      <t xml:space="preserve"> =</t>
    </r>
  </si>
  <si>
    <r>
      <t>C</t>
    </r>
    <r>
      <rPr>
        <vertAlign val="subscript"/>
        <sz val="9"/>
        <color theme="1"/>
        <rFont val="Times New Roman"/>
        <family val="2"/>
      </rPr>
      <t>v-Ext</t>
    </r>
    <r>
      <rPr>
        <sz val="9"/>
        <color theme="1"/>
        <rFont val="Arial"/>
        <family val="2"/>
      </rPr>
      <t xml:space="preserve"> =</t>
    </r>
  </si>
  <si>
    <r>
      <t>C</t>
    </r>
    <r>
      <rPr>
        <vertAlign val="subscript"/>
        <sz val="9"/>
        <color theme="1"/>
        <rFont val="Times New Roman"/>
        <family val="2"/>
      </rPr>
      <t xml:space="preserve">v </t>
    </r>
    <r>
      <rPr>
        <sz val="9"/>
        <color theme="1"/>
        <rFont val="Times New Roman"/>
        <family val="1"/>
      </rPr>
      <t>V d</t>
    </r>
    <r>
      <rPr>
        <sz val="9"/>
        <color theme="1"/>
        <rFont val="Arial"/>
        <family val="2"/>
      </rPr>
      <t xml:space="preserve"> = C</t>
    </r>
    <r>
      <rPr>
        <vertAlign val="subscript"/>
        <sz val="9"/>
        <color theme="1"/>
        <rFont val="Arial"/>
        <family val="2"/>
      </rPr>
      <t xml:space="preserve">v </t>
    </r>
    <r>
      <rPr>
        <sz val="9"/>
        <color theme="1"/>
        <rFont val="Arial"/>
        <family val="2"/>
      </rPr>
      <t xml:space="preserve">V </t>
    </r>
    <r>
      <rPr>
        <sz val="9"/>
        <color theme="1"/>
        <rFont val="Calibri"/>
        <family val="2"/>
      </rPr>
      <t>ø</t>
    </r>
    <r>
      <rPr>
        <vertAlign val="subscript"/>
        <sz val="9"/>
        <color theme="1"/>
        <rFont val="Arial"/>
        <family val="2"/>
      </rPr>
      <t xml:space="preserve">pole-avg </t>
    </r>
    <r>
      <rPr>
        <sz val="9"/>
        <color theme="1"/>
        <rFont val="Arial"/>
        <family val="2"/>
      </rPr>
      <t>=</t>
    </r>
  </si>
  <si>
    <r>
      <t>C</t>
    </r>
    <r>
      <rPr>
        <vertAlign val="subscript"/>
        <sz val="9"/>
        <color theme="1"/>
        <rFont val="Times New Roman"/>
        <family val="2"/>
      </rPr>
      <t>v</t>
    </r>
    <r>
      <rPr>
        <sz val="9"/>
        <color theme="1"/>
        <rFont val="Arial"/>
        <family val="2"/>
      </rPr>
      <t xml:space="preserve"> =</t>
    </r>
  </si>
  <si>
    <r>
      <t>C</t>
    </r>
    <r>
      <rPr>
        <vertAlign val="subscript"/>
        <sz val="9"/>
        <color theme="1"/>
        <rFont val="Times New Roman"/>
        <family val="2"/>
      </rPr>
      <t>d-members</t>
    </r>
    <r>
      <rPr>
        <sz val="9"/>
        <color theme="1"/>
        <rFont val="Arial"/>
        <family val="2"/>
      </rPr>
      <t xml:space="preserve"> =</t>
    </r>
  </si>
  <si>
    <r>
      <t>C</t>
    </r>
    <r>
      <rPr>
        <vertAlign val="subscript"/>
        <sz val="9"/>
        <color theme="1"/>
        <rFont val="Times New Roman"/>
        <family val="2"/>
      </rPr>
      <t>d-sp</t>
    </r>
    <r>
      <rPr>
        <sz val="9"/>
        <color theme="1"/>
        <rFont val="Arial"/>
        <family val="2"/>
      </rPr>
      <t xml:space="preserve"> =</t>
    </r>
  </si>
  <si>
    <r>
      <t>A</t>
    </r>
    <r>
      <rPr>
        <vertAlign val="subscript"/>
        <sz val="9"/>
        <color theme="1"/>
        <rFont val="Times New Roman"/>
        <family val="1"/>
      </rPr>
      <t>1x</t>
    </r>
    <r>
      <rPr>
        <sz val="9"/>
        <color theme="1"/>
        <rFont val="Arial"/>
        <family val="2"/>
      </rPr>
      <t xml:space="preserve"> = </t>
    </r>
  </si>
  <si>
    <r>
      <t>ft.</t>
    </r>
    <r>
      <rPr>
        <vertAlign val="superscript"/>
        <sz val="9"/>
        <color theme="1"/>
        <rFont val="Times New Roman"/>
        <family val="1"/>
      </rPr>
      <t>2</t>
    </r>
  </si>
  <si>
    <r>
      <t>A</t>
    </r>
    <r>
      <rPr>
        <vertAlign val="subscript"/>
        <sz val="9"/>
        <color theme="1"/>
        <rFont val="Times New Roman"/>
        <family val="1"/>
      </rPr>
      <t>1z</t>
    </r>
    <r>
      <rPr>
        <sz val="9"/>
        <color theme="1"/>
        <rFont val="Arial"/>
        <family val="2"/>
      </rPr>
      <t xml:space="preserve"> = </t>
    </r>
  </si>
  <si>
    <r>
      <t>A</t>
    </r>
    <r>
      <rPr>
        <vertAlign val="subscript"/>
        <sz val="9"/>
        <color theme="1"/>
        <rFont val="Times New Roman"/>
        <family val="1"/>
      </rPr>
      <t>2x</t>
    </r>
    <r>
      <rPr>
        <sz val="9"/>
        <color theme="1"/>
        <rFont val="Arial"/>
        <family val="2"/>
      </rPr>
      <t xml:space="preserve"> =</t>
    </r>
  </si>
  <si>
    <r>
      <t>A</t>
    </r>
    <r>
      <rPr>
        <vertAlign val="subscript"/>
        <sz val="9"/>
        <color theme="1"/>
        <rFont val="Times New Roman"/>
        <family val="1"/>
      </rPr>
      <t>3x</t>
    </r>
    <r>
      <rPr>
        <sz val="9"/>
        <color theme="1"/>
        <rFont val="Arial"/>
        <family val="2"/>
      </rPr>
      <t xml:space="preserve"> =</t>
    </r>
  </si>
  <si>
    <r>
      <t>W</t>
    </r>
    <r>
      <rPr>
        <vertAlign val="subscript"/>
        <sz val="9"/>
        <color theme="1"/>
        <rFont val="Arial"/>
        <family val="2"/>
      </rPr>
      <t>x</t>
    </r>
    <r>
      <rPr>
        <sz val="9"/>
        <color theme="1"/>
        <rFont val="Arial"/>
        <family val="2"/>
      </rPr>
      <t xml:space="preserve"> =</t>
    </r>
  </si>
  <si>
    <r>
      <t>= A</t>
    </r>
    <r>
      <rPr>
        <vertAlign val="subscript"/>
        <sz val="9"/>
        <color theme="1"/>
        <rFont val="Arial"/>
        <family val="2"/>
      </rPr>
      <t>1z</t>
    </r>
    <r>
      <rPr>
        <sz val="9"/>
        <color theme="1"/>
        <rFont val="Arial"/>
        <family val="2"/>
      </rPr>
      <t xml:space="preserve"> * P</t>
    </r>
    <r>
      <rPr>
        <vertAlign val="subscript"/>
        <sz val="9"/>
        <color theme="1"/>
        <rFont val="Arial"/>
        <family val="2"/>
      </rPr>
      <t>z-members</t>
    </r>
  </si>
  <si>
    <r>
      <t>W</t>
    </r>
    <r>
      <rPr>
        <vertAlign val="subscript"/>
        <sz val="9"/>
        <color theme="1"/>
        <rFont val="Arial"/>
        <family val="2"/>
      </rPr>
      <t>z-sign</t>
    </r>
    <r>
      <rPr>
        <sz val="9"/>
        <color theme="1"/>
        <rFont val="Arial"/>
        <family val="2"/>
      </rPr>
      <t xml:space="preserve"> =</t>
    </r>
  </si>
  <si>
    <r>
      <t>= A</t>
    </r>
    <r>
      <rPr>
        <vertAlign val="subscript"/>
        <sz val="9"/>
        <color theme="1"/>
        <rFont val="Arial"/>
        <family val="2"/>
      </rPr>
      <t>3x</t>
    </r>
    <r>
      <rPr>
        <sz val="9"/>
        <color theme="1"/>
        <rFont val="Arial"/>
        <family val="2"/>
      </rPr>
      <t xml:space="preserve"> * P</t>
    </r>
    <r>
      <rPr>
        <vertAlign val="subscript"/>
        <sz val="9"/>
        <color theme="1"/>
        <rFont val="Arial"/>
        <family val="2"/>
      </rPr>
      <t>z-sign panels</t>
    </r>
  </si>
  <si>
    <r>
      <t>W</t>
    </r>
    <r>
      <rPr>
        <vertAlign val="subscript"/>
        <sz val="9"/>
        <color theme="1"/>
        <rFont val="Arial"/>
        <family val="2"/>
      </rPr>
      <t>z-arm</t>
    </r>
    <r>
      <rPr>
        <sz val="9"/>
        <color theme="1"/>
        <rFont val="Arial"/>
        <family val="2"/>
      </rPr>
      <t xml:space="preserve"> =</t>
    </r>
  </si>
  <si>
    <r>
      <t>= A</t>
    </r>
    <r>
      <rPr>
        <vertAlign val="subscript"/>
        <sz val="9"/>
        <color theme="1"/>
        <rFont val="Arial"/>
        <family val="2"/>
      </rPr>
      <t>2x</t>
    </r>
    <r>
      <rPr>
        <sz val="9"/>
        <color theme="1"/>
        <rFont val="Arial"/>
        <family val="2"/>
      </rPr>
      <t xml:space="preserve"> * P</t>
    </r>
    <r>
      <rPr>
        <vertAlign val="subscript"/>
        <sz val="9"/>
        <color theme="1"/>
        <rFont val="Arial"/>
        <family val="2"/>
      </rPr>
      <t>z-members</t>
    </r>
    <r>
      <rPr>
        <sz val="10"/>
        <color theme="1"/>
        <rFont val="Arial"/>
        <family val="2"/>
      </rPr>
      <t/>
    </r>
  </si>
  <si>
    <r>
      <t>W</t>
    </r>
    <r>
      <rPr>
        <vertAlign val="subscript"/>
        <sz val="9"/>
        <color theme="1"/>
        <rFont val="Arial"/>
        <family val="2"/>
      </rPr>
      <t>z-pole</t>
    </r>
    <r>
      <rPr>
        <sz val="9"/>
        <color theme="1"/>
        <rFont val="Arial"/>
        <family val="2"/>
      </rPr>
      <t xml:space="preserve"> =</t>
    </r>
  </si>
  <si>
    <r>
      <t>= A</t>
    </r>
    <r>
      <rPr>
        <vertAlign val="subscript"/>
        <sz val="9"/>
        <color theme="1"/>
        <rFont val="Arial"/>
        <family val="2"/>
      </rPr>
      <t>1x</t>
    </r>
    <r>
      <rPr>
        <sz val="9"/>
        <color theme="1"/>
        <rFont val="Arial"/>
        <family val="2"/>
      </rPr>
      <t xml:space="preserve"> * P</t>
    </r>
    <r>
      <rPr>
        <vertAlign val="subscript"/>
        <sz val="9"/>
        <color theme="1"/>
        <rFont val="Arial"/>
        <family val="2"/>
      </rPr>
      <t>z-members</t>
    </r>
  </si>
  <si>
    <r>
      <t>DC</t>
    </r>
    <r>
      <rPr>
        <vertAlign val="subscript"/>
        <sz val="9"/>
        <color theme="1"/>
        <rFont val="Arial"/>
        <family val="2"/>
      </rPr>
      <t>1</t>
    </r>
  </si>
  <si>
    <r>
      <t>DC</t>
    </r>
    <r>
      <rPr>
        <vertAlign val="subscript"/>
        <sz val="9"/>
        <color theme="1"/>
        <rFont val="Arial"/>
        <family val="2"/>
      </rPr>
      <t>2</t>
    </r>
  </si>
  <si>
    <r>
      <t>DC</t>
    </r>
    <r>
      <rPr>
        <vertAlign val="subscript"/>
        <sz val="9"/>
        <color theme="1"/>
        <rFont val="Arial"/>
        <family val="2"/>
      </rPr>
      <t>3</t>
    </r>
  </si>
  <si>
    <r>
      <t>DC</t>
    </r>
    <r>
      <rPr>
        <vertAlign val="subscript"/>
        <sz val="9"/>
        <color theme="1"/>
        <rFont val="Arial"/>
        <family val="2"/>
      </rPr>
      <t>4</t>
    </r>
  </si>
  <si>
    <r>
      <t>W</t>
    </r>
    <r>
      <rPr>
        <vertAlign val="subscript"/>
        <sz val="9"/>
        <color theme="1"/>
        <rFont val="Arial"/>
        <family val="2"/>
      </rPr>
      <t>x-pole</t>
    </r>
  </si>
  <si>
    <r>
      <t>W</t>
    </r>
    <r>
      <rPr>
        <vertAlign val="subscript"/>
        <sz val="9"/>
        <color theme="1"/>
        <rFont val="Arial"/>
        <family val="2"/>
      </rPr>
      <t>z-sign/arm</t>
    </r>
  </si>
  <si>
    <r>
      <t>W</t>
    </r>
    <r>
      <rPr>
        <vertAlign val="subscript"/>
        <sz val="9"/>
        <color theme="1"/>
        <rFont val="Arial"/>
        <family val="2"/>
      </rPr>
      <t>z-sign</t>
    </r>
  </si>
  <si>
    <r>
      <t>W</t>
    </r>
    <r>
      <rPr>
        <vertAlign val="subscript"/>
        <sz val="9"/>
        <color theme="1"/>
        <rFont val="Arial"/>
        <family val="2"/>
      </rPr>
      <t>z-arm</t>
    </r>
  </si>
  <si>
    <r>
      <t>W</t>
    </r>
    <r>
      <rPr>
        <vertAlign val="subscript"/>
        <sz val="9"/>
        <color theme="1"/>
        <rFont val="Arial"/>
        <family val="2"/>
      </rPr>
      <t>z-pole</t>
    </r>
  </si>
  <si>
    <r>
      <rPr>
        <b/>
        <sz val="9"/>
        <color theme="1"/>
        <rFont val="Cambria"/>
        <family val="1"/>
      </rPr>
      <t>γ</t>
    </r>
    <r>
      <rPr>
        <b/>
        <vertAlign val="subscript"/>
        <sz val="9"/>
        <color theme="1"/>
        <rFont val="Arial"/>
        <family val="2"/>
      </rPr>
      <t>DC</t>
    </r>
  </si>
  <si>
    <r>
      <rPr>
        <b/>
        <sz val="9"/>
        <color theme="1"/>
        <rFont val="Cambria"/>
        <family val="1"/>
      </rPr>
      <t>γ</t>
    </r>
    <r>
      <rPr>
        <b/>
        <vertAlign val="subscript"/>
        <sz val="9"/>
        <color theme="1"/>
        <rFont val="Arial"/>
        <family val="2"/>
      </rPr>
      <t>LL</t>
    </r>
  </si>
  <si>
    <r>
      <rPr>
        <b/>
        <sz val="9"/>
        <color theme="1"/>
        <rFont val="Cambria"/>
        <family val="1"/>
      </rPr>
      <t>γ</t>
    </r>
    <r>
      <rPr>
        <b/>
        <vertAlign val="subscript"/>
        <sz val="9"/>
        <color theme="1"/>
        <rFont val="Arial"/>
        <family val="2"/>
      </rPr>
      <t>W</t>
    </r>
  </si>
  <si>
    <r>
      <t>*M</t>
    </r>
    <r>
      <rPr>
        <vertAlign val="subscript"/>
        <sz val="9"/>
        <color theme="1"/>
        <rFont val="Arial"/>
        <family val="2"/>
      </rPr>
      <t>y</t>
    </r>
    <r>
      <rPr>
        <sz val="9"/>
        <color theme="1"/>
        <rFont val="Arial"/>
        <family val="2"/>
      </rPr>
      <t xml:space="preserve"> to be used for torsion calculation</t>
    </r>
  </si>
  <si>
    <r>
      <t>El</t>
    </r>
    <r>
      <rPr>
        <vertAlign val="subscript"/>
        <sz val="9"/>
        <color theme="1"/>
        <rFont val="Arial"/>
        <family val="2"/>
      </rPr>
      <t>boring top</t>
    </r>
    <r>
      <rPr>
        <sz val="9"/>
        <color theme="1"/>
        <rFont val="Arial"/>
        <family val="2"/>
      </rPr>
      <t xml:space="preserve"> =</t>
    </r>
  </si>
  <si>
    <r>
      <t>El</t>
    </r>
    <r>
      <rPr>
        <vertAlign val="subscript"/>
        <sz val="9"/>
        <color theme="1"/>
        <rFont val="Arial"/>
        <family val="2"/>
      </rPr>
      <t>boring bot</t>
    </r>
    <r>
      <rPr>
        <sz val="9"/>
        <color theme="1"/>
        <rFont val="Arial"/>
        <family val="2"/>
      </rPr>
      <t xml:space="preserve"> =</t>
    </r>
  </si>
  <si>
    <r>
      <t>El</t>
    </r>
    <r>
      <rPr>
        <vertAlign val="subscript"/>
        <sz val="9"/>
        <color theme="1"/>
        <rFont val="Arial"/>
        <family val="2"/>
      </rPr>
      <t>caisson top</t>
    </r>
    <r>
      <rPr>
        <sz val="9"/>
        <color theme="1"/>
        <rFont val="Arial"/>
        <family val="2"/>
      </rPr>
      <t xml:space="preserve"> =</t>
    </r>
  </si>
  <si>
    <r>
      <t>El</t>
    </r>
    <r>
      <rPr>
        <vertAlign val="subscript"/>
        <sz val="9"/>
        <color theme="1"/>
        <rFont val="Arial"/>
        <family val="2"/>
      </rPr>
      <t>caisson bot</t>
    </r>
    <r>
      <rPr>
        <sz val="9"/>
        <color theme="1"/>
        <rFont val="Arial"/>
        <family val="2"/>
      </rPr>
      <t xml:space="preserve"> =</t>
    </r>
  </si>
  <si>
    <r>
      <rPr>
        <sz val="9"/>
        <rFont val="Calibri"/>
        <family val="2"/>
      </rPr>
      <t>Ɛ</t>
    </r>
    <r>
      <rPr>
        <vertAlign val="subscript"/>
        <sz val="9"/>
        <rFont val="Arial"/>
        <family val="2"/>
      </rPr>
      <t>50</t>
    </r>
  </si>
  <si>
    <r>
      <t>D</t>
    </r>
    <r>
      <rPr>
        <vertAlign val="subscript"/>
        <sz val="9"/>
        <color theme="1"/>
        <rFont val="Arial"/>
        <family val="2"/>
      </rPr>
      <t xml:space="preserve">rock </t>
    </r>
    <r>
      <rPr>
        <sz val="9"/>
        <color theme="1"/>
        <rFont val="Arial"/>
        <family val="2"/>
      </rPr>
      <t>=</t>
    </r>
  </si>
  <si>
    <r>
      <t>Min Clear Allowed, Max(1.5d</t>
    </r>
    <r>
      <rPr>
        <vertAlign val="subscript"/>
        <sz val="9"/>
        <color theme="1"/>
        <rFont val="Arial"/>
        <family val="2"/>
      </rPr>
      <t>b</t>
    </r>
    <r>
      <rPr>
        <sz val="9"/>
        <color theme="1"/>
        <rFont val="Arial"/>
        <family val="2"/>
      </rPr>
      <t>, 1.5*Agg Size, 1.5") =</t>
    </r>
  </si>
  <si>
    <r>
      <t>in.</t>
    </r>
    <r>
      <rPr>
        <vertAlign val="superscript"/>
        <sz val="9"/>
        <color theme="1"/>
        <rFont val="Times New Roman"/>
        <family val="1"/>
      </rPr>
      <t>2</t>
    </r>
  </si>
  <si>
    <r>
      <rPr>
        <sz val="9"/>
        <color theme="1"/>
        <rFont val="Calibri"/>
        <family val="2"/>
      </rPr>
      <t>q</t>
    </r>
    <r>
      <rPr>
        <vertAlign val="subscript"/>
        <sz val="9"/>
        <rFont val="Arial"/>
        <family val="2"/>
      </rPr>
      <t>p</t>
    </r>
    <r>
      <rPr>
        <sz val="9"/>
        <rFont val="Arial"/>
        <family val="2"/>
      </rPr>
      <t xml:space="preserve"> =</t>
    </r>
  </si>
  <si>
    <r>
      <rPr>
        <sz val="9"/>
        <color theme="1"/>
        <rFont val="Calibri"/>
        <family val="2"/>
      </rPr>
      <t>q</t>
    </r>
    <r>
      <rPr>
        <vertAlign val="subscript"/>
        <sz val="9"/>
        <rFont val="Arial"/>
        <family val="2"/>
      </rPr>
      <t>s</t>
    </r>
    <r>
      <rPr>
        <sz val="9"/>
        <rFont val="Arial"/>
        <family val="2"/>
      </rPr>
      <t xml:space="preserve"> =</t>
    </r>
  </si>
  <si>
    <r>
      <rPr>
        <sz val="9"/>
        <rFont val="Calibri"/>
        <family val="2"/>
      </rPr>
      <t>ɸ</t>
    </r>
    <r>
      <rPr>
        <vertAlign val="subscript"/>
        <sz val="9"/>
        <rFont val="Arial"/>
        <family val="2"/>
      </rPr>
      <t xml:space="preserve">qp </t>
    </r>
    <r>
      <rPr>
        <sz val="9"/>
        <rFont val="Arial"/>
        <family val="2"/>
      </rPr>
      <t>=</t>
    </r>
  </si>
  <si>
    <r>
      <rPr>
        <sz val="9"/>
        <rFont val="Calibri"/>
        <family val="2"/>
      </rPr>
      <t>ɸ</t>
    </r>
    <r>
      <rPr>
        <vertAlign val="subscript"/>
        <sz val="9"/>
        <rFont val="Arial"/>
        <family val="2"/>
      </rPr>
      <t xml:space="preserve">qs </t>
    </r>
    <r>
      <rPr>
        <sz val="9"/>
        <rFont val="Arial"/>
        <family val="2"/>
      </rPr>
      <t>=</t>
    </r>
  </si>
  <si>
    <r>
      <rPr>
        <sz val="9"/>
        <color theme="1"/>
        <rFont val="Calibri"/>
        <family val="2"/>
      </rPr>
      <t>A</t>
    </r>
    <r>
      <rPr>
        <vertAlign val="subscript"/>
        <sz val="9"/>
        <rFont val="Arial"/>
        <family val="2"/>
      </rPr>
      <t>shaft</t>
    </r>
    <r>
      <rPr>
        <sz val="9"/>
        <rFont val="Arial"/>
        <family val="2"/>
      </rPr>
      <t xml:space="preserve"> =</t>
    </r>
  </si>
  <si>
    <r>
      <rPr>
        <sz val="9"/>
        <color theme="1"/>
        <rFont val="Calibri"/>
        <family val="2"/>
      </rPr>
      <t>P</t>
    </r>
    <r>
      <rPr>
        <vertAlign val="subscript"/>
        <sz val="9"/>
        <rFont val="Arial"/>
        <family val="2"/>
      </rPr>
      <t>shaft</t>
    </r>
    <r>
      <rPr>
        <sz val="9"/>
        <rFont val="Arial"/>
        <family val="2"/>
      </rPr>
      <t xml:space="preserve"> =</t>
    </r>
  </si>
  <si>
    <r>
      <rPr>
        <sz val="9"/>
        <color theme="1"/>
        <rFont val="Calibri"/>
        <family val="2"/>
      </rPr>
      <t>D</t>
    </r>
    <r>
      <rPr>
        <vertAlign val="subscript"/>
        <sz val="9"/>
        <rFont val="Arial"/>
        <family val="2"/>
      </rPr>
      <t>rock</t>
    </r>
    <r>
      <rPr>
        <sz val="9"/>
        <rFont val="Arial"/>
        <family val="2"/>
      </rPr>
      <t xml:space="preserve"> =</t>
    </r>
  </si>
  <si>
    <r>
      <rPr>
        <sz val="9"/>
        <rFont val="Calibri"/>
        <family val="2"/>
      </rPr>
      <t>ɸ</t>
    </r>
    <r>
      <rPr>
        <vertAlign val="subscript"/>
        <sz val="9"/>
        <rFont val="Arial"/>
        <family val="2"/>
      </rPr>
      <t>qp</t>
    </r>
    <r>
      <rPr>
        <sz val="9"/>
        <rFont val="Arial"/>
        <family val="2"/>
      </rPr>
      <t>q</t>
    </r>
    <r>
      <rPr>
        <vertAlign val="subscript"/>
        <sz val="9"/>
        <rFont val="Arial"/>
        <family val="2"/>
      </rPr>
      <t>p</t>
    </r>
    <r>
      <rPr>
        <sz val="9"/>
        <rFont val="Arial"/>
        <family val="2"/>
      </rPr>
      <t>A</t>
    </r>
    <r>
      <rPr>
        <vertAlign val="subscript"/>
        <sz val="9"/>
        <rFont val="Arial"/>
        <family val="2"/>
      </rPr>
      <t xml:space="preserve">shaft </t>
    </r>
    <r>
      <rPr>
        <sz val="9"/>
        <rFont val="Arial"/>
        <family val="2"/>
      </rPr>
      <t>= ɸ</t>
    </r>
    <r>
      <rPr>
        <vertAlign val="subscript"/>
        <sz val="9"/>
        <rFont val="Arial"/>
        <family val="2"/>
      </rPr>
      <t>qp</t>
    </r>
    <r>
      <rPr>
        <sz val="9"/>
        <rFont val="Arial"/>
        <family val="2"/>
      </rPr>
      <t>R</t>
    </r>
    <r>
      <rPr>
        <vertAlign val="subscript"/>
        <sz val="9"/>
        <rFont val="Arial"/>
        <family val="2"/>
      </rPr>
      <t>p</t>
    </r>
    <r>
      <rPr>
        <sz val="9"/>
        <rFont val="Arial"/>
        <family val="2"/>
      </rPr>
      <t xml:space="preserve"> =</t>
    </r>
  </si>
  <si>
    <r>
      <rPr>
        <sz val="9"/>
        <rFont val="Calibri"/>
        <family val="2"/>
      </rPr>
      <t>ɸ</t>
    </r>
    <r>
      <rPr>
        <vertAlign val="subscript"/>
        <sz val="9"/>
        <rFont val="Arial"/>
        <family val="2"/>
      </rPr>
      <t>qs</t>
    </r>
    <r>
      <rPr>
        <sz val="9"/>
        <rFont val="Arial"/>
        <family val="2"/>
      </rPr>
      <t>q</t>
    </r>
    <r>
      <rPr>
        <vertAlign val="subscript"/>
        <sz val="9"/>
        <rFont val="Arial"/>
        <family val="2"/>
      </rPr>
      <t>s</t>
    </r>
    <r>
      <rPr>
        <sz val="9"/>
        <rFont val="Arial"/>
        <family val="2"/>
      </rPr>
      <t>P</t>
    </r>
    <r>
      <rPr>
        <vertAlign val="subscript"/>
        <sz val="9"/>
        <rFont val="Arial"/>
        <family val="2"/>
      </rPr>
      <t>shaft</t>
    </r>
    <r>
      <rPr>
        <sz val="9"/>
        <rFont val="Arial"/>
        <family val="2"/>
      </rPr>
      <t>D</t>
    </r>
    <r>
      <rPr>
        <vertAlign val="subscript"/>
        <sz val="9"/>
        <rFont val="Arial"/>
        <family val="2"/>
      </rPr>
      <t xml:space="preserve">rock </t>
    </r>
    <r>
      <rPr>
        <sz val="9"/>
        <rFont val="Arial"/>
        <family val="2"/>
      </rPr>
      <t>= ɸ</t>
    </r>
    <r>
      <rPr>
        <vertAlign val="subscript"/>
        <sz val="9"/>
        <rFont val="Arial"/>
        <family val="2"/>
      </rPr>
      <t>qs</t>
    </r>
    <r>
      <rPr>
        <sz val="9"/>
        <rFont val="Arial"/>
        <family val="2"/>
      </rPr>
      <t>R</t>
    </r>
    <r>
      <rPr>
        <vertAlign val="subscript"/>
        <sz val="9"/>
        <rFont val="Arial"/>
        <family val="2"/>
      </rPr>
      <t>s</t>
    </r>
    <r>
      <rPr>
        <sz val="9"/>
        <rFont val="Arial"/>
        <family val="2"/>
      </rPr>
      <t xml:space="preserve"> =</t>
    </r>
  </si>
  <si>
    <r>
      <t>F</t>
    </r>
    <r>
      <rPr>
        <vertAlign val="subscript"/>
        <sz val="9"/>
        <color theme="1"/>
        <rFont val="Arial"/>
        <family val="2"/>
      </rPr>
      <t>y</t>
    </r>
    <r>
      <rPr>
        <sz val="9"/>
        <color theme="1"/>
        <rFont val="Arial"/>
        <family val="2"/>
      </rPr>
      <t xml:space="preserve"> max plus DL of shaft</t>
    </r>
  </si>
  <si>
    <r>
      <rPr>
        <sz val="9"/>
        <rFont val="Calibri"/>
        <family val="2"/>
      </rPr>
      <t>ɸ</t>
    </r>
    <r>
      <rPr>
        <vertAlign val="subscript"/>
        <sz val="9"/>
        <rFont val="Arial"/>
        <family val="2"/>
      </rPr>
      <t xml:space="preserve"> </t>
    </r>
    <r>
      <rPr>
        <sz val="9"/>
        <rFont val="Arial"/>
        <family val="2"/>
      </rPr>
      <t>=</t>
    </r>
  </si>
  <si>
    <r>
      <t>Nominal Moment Resistance, 
M</t>
    </r>
    <r>
      <rPr>
        <vertAlign val="subscript"/>
        <sz val="9"/>
        <rFont val="Arial"/>
        <family val="2"/>
      </rPr>
      <t>n</t>
    </r>
    <r>
      <rPr>
        <sz val="9"/>
        <rFont val="Arial"/>
        <family val="2"/>
      </rPr>
      <t xml:space="preserve"> (kip-in.)</t>
    </r>
  </si>
  <si>
    <r>
      <t>Ultimate Moment Resistance, 
M</t>
    </r>
    <r>
      <rPr>
        <vertAlign val="subscript"/>
        <sz val="9"/>
        <color theme="1"/>
        <rFont val="Arial"/>
        <family val="2"/>
      </rPr>
      <t>u</t>
    </r>
    <r>
      <rPr>
        <sz val="9"/>
        <color theme="1"/>
        <rFont val="Arial"/>
        <family val="2"/>
      </rPr>
      <t xml:space="preserve"> (kip-in.)</t>
    </r>
  </si>
  <si>
    <r>
      <t>Factored Applied Moment, M</t>
    </r>
    <r>
      <rPr>
        <vertAlign val="subscript"/>
        <sz val="9"/>
        <color theme="1"/>
        <rFont val="Arial"/>
        <family val="2"/>
      </rPr>
      <t>applied</t>
    </r>
    <r>
      <rPr>
        <sz val="9"/>
        <color theme="1"/>
        <rFont val="Arial"/>
        <family val="2"/>
      </rPr>
      <t xml:space="preserve"> (kip-in.)</t>
    </r>
  </si>
  <si>
    <r>
      <rPr>
        <sz val="9"/>
        <color theme="1"/>
        <rFont val="Calibri"/>
        <family val="2"/>
      </rPr>
      <t>V</t>
    </r>
    <r>
      <rPr>
        <vertAlign val="subscript"/>
        <sz val="9"/>
        <rFont val="Arial"/>
        <family val="2"/>
      </rPr>
      <t>u</t>
    </r>
    <r>
      <rPr>
        <sz val="9"/>
        <rFont val="Arial"/>
        <family val="2"/>
      </rPr>
      <t xml:space="preserve"> =</t>
    </r>
  </si>
  <si>
    <r>
      <rPr>
        <sz val="9"/>
        <color theme="1"/>
        <rFont val="Calibri"/>
        <family val="2"/>
      </rPr>
      <t>M</t>
    </r>
    <r>
      <rPr>
        <vertAlign val="subscript"/>
        <sz val="9"/>
        <color theme="1"/>
        <rFont val="Calibri"/>
        <family val="2"/>
      </rPr>
      <t>y</t>
    </r>
    <r>
      <rPr>
        <sz val="9"/>
        <color theme="1"/>
        <rFont val="Calibri"/>
        <family val="2"/>
      </rPr>
      <t xml:space="preserve"> </t>
    </r>
    <r>
      <rPr>
        <sz val="9"/>
        <rFont val="Arial"/>
        <family val="2"/>
      </rPr>
      <t>= T</t>
    </r>
    <r>
      <rPr>
        <vertAlign val="subscript"/>
        <sz val="9"/>
        <rFont val="Arial"/>
        <family val="2"/>
      </rPr>
      <t>u</t>
    </r>
    <r>
      <rPr>
        <sz val="9"/>
        <rFont val="Arial"/>
        <family val="2"/>
      </rPr>
      <t xml:space="preserve"> =</t>
    </r>
  </si>
  <si>
    <r>
      <rPr>
        <sz val="9"/>
        <color theme="1"/>
        <rFont val="Calibri"/>
        <family val="2"/>
      </rPr>
      <t>M</t>
    </r>
    <r>
      <rPr>
        <vertAlign val="subscript"/>
        <sz val="9"/>
        <rFont val="Arial"/>
        <family val="2"/>
      </rPr>
      <t>u</t>
    </r>
    <r>
      <rPr>
        <sz val="9"/>
        <rFont val="Arial"/>
        <family val="2"/>
      </rPr>
      <t xml:space="preserve"> =</t>
    </r>
  </si>
  <si>
    <r>
      <rPr>
        <sz val="9"/>
        <color theme="1"/>
        <rFont val="Calibri"/>
        <family val="2"/>
      </rPr>
      <t>N</t>
    </r>
    <r>
      <rPr>
        <vertAlign val="subscript"/>
        <sz val="9"/>
        <rFont val="Arial"/>
        <family val="2"/>
      </rPr>
      <t>u</t>
    </r>
    <r>
      <rPr>
        <sz val="9"/>
        <rFont val="Arial"/>
        <family val="2"/>
      </rPr>
      <t xml:space="preserve"> =</t>
    </r>
  </si>
  <si>
    <r>
      <rPr>
        <sz val="9"/>
        <color theme="1"/>
        <rFont val="Calibri"/>
        <family val="2"/>
      </rPr>
      <t>ɸ</t>
    </r>
    <r>
      <rPr>
        <sz val="9"/>
        <color theme="1"/>
        <rFont val="Arial"/>
        <family val="2"/>
      </rPr>
      <t xml:space="preserve"> =</t>
    </r>
  </si>
  <si>
    <r>
      <t>d</t>
    </r>
    <r>
      <rPr>
        <vertAlign val="subscript"/>
        <sz val="9"/>
        <color theme="1"/>
        <rFont val="Arial"/>
        <family val="2"/>
      </rPr>
      <t>stirrup</t>
    </r>
    <r>
      <rPr>
        <sz val="9"/>
        <color theme="1"/>
        <rFont val="Arial"/>
        <family val="2"/>
      </rPr>
      <t xml:space="preserve"> =</t>
    </r>
  </si>
  <si>
    <r>
      <rPr>
        <sz val="9"/>
        <color theme="1"/>
        <rFont val="Calibri"/>
        <family val="2"/>
      </rPr>
      <t>M</t>
    </r>
    <r>
      <rPr>
        <vertAlign val="subscript"/>
        <sz val="9"/>
        <rFont val="Arial"/>
        <family val="2"/>
      </rPr>
      <t>n</t>
    </r>
    <r>
      <rPr>
        <sz val="9"/>
        <rFont val="Arial"/>
        <family val="2"/>
      </rPr>
      <t xml:space="preserve"> =</t>
    </r>
  </si>
  <si>
    <r>
      <rPr>
        <sz val="9"/>
        <color theme="1"/>
        <rFont val="Calibri"/>
        <family val="2"/>
      </rPr>
      <t>A</t>
    </r>
    <r>
      <rPr>
        <vertAlign val="subscript"/>
        <sz val="9"/>
        <rFont val="Arial"/>
        <family val="2"/>
      </rPr>
      <t>f</t>
    </r>
    <r>
      <rPr>
        <sz val="9"/>
        <rFont val="Arial"/>
        <family val="2"/>
      </rPr>
      <t xml:space="preserve"> =</t>
    </r>
  </si>
  <si>
    <r>
      <t>in.</t>
    </r>
    <r>
      <rPr>
        <vertAlign val="superscript"/>
        <sz val="9"/>
        <color theme="1"/>
        <rFont val="Arial"/>
        <family val="2"/>
      </rPr>
      <t>2</t>
    </r>
  </si>
  <si>
    <r>
      <rPr>
        <sz val="9"/>
        <color theme="1"/>
        <rFont val="Calibri"/>
        <family val="2"/>
      </rPr>
      <t>D</t>
    </r>
    <r>
      <rPr>
        <vertAlign val="subscript"/>
        <sz val="9"/>
        <rFont val="Arial"/>
        <family val="2"/>
      </rPr>
      <t>r</t>
    </r>
    <r>
      <rPr>
        <sz val="9"/>
        <rFont val="Arial"/>
        <family val="2"/>
      </rPr>
      <t xml:space="preserve"> =</t>
    </r>
  </si>
  <si>
    <r>
      <t>in.</t>
    </r>
    <r>
      <rPr>
        <vertAlign val="superscript"/>
        <sz val="9"/>
        <color theme="1"/>
        <rFont val="Arial"/>
        <family val="2"/>
      </rPr>
      <t>3</t>
    </r>
    <r>
      <rPr>
        <sz val="11"/>
        <color theme="1"/>
        <rFont val="Calibri"/>
        <family val="2"/>
        <scheme val="minor"/>
      </rPr>
      <t/>
    </r>
  </si>
  <si>
    <r>
      <rPr>
        <sz val="9"/>
        <color theme="1"/>
        <rFont val="Calibri"/>
        <family val="2"/>
      </rPr>
      <t>d</t>
    </r>
    <r>
      <rPr>
        <vertAlign val="subscript"/>
        <sz val="9"/>
        <rFont val="Arial"/>
        <family val="2"/>
      </rPr>
      <t>s</t>
    </r>
    <r>
      <rPr>
        <sz val="9"/>
        <rFont val="Arial"/>
        <family val="2"/>
      </rPr>
      <t xml:space="preserve"> =</t>
    </r>
  </si>
  <si>
    <r>
      <t>= D</t>
    </r>
    <r>
      <rPr>
        <vertAlign val="subscript"/>
        <sz val="9"/>
        <color theme="1"/>
        <rFont val="Arial"/>
        <family val="2"/>
      </rPr>
      <t>shaft</t>
    </r>
    <r>
      <rPr>
        <sz val="9"/>
        <color theme="1"/>
        <rFont val="Arial"/>
        <family val="2"/>
      </rPr>
      <t>/2 + D</t>
    </r>
    <r>
      <rPr>
        <vertAlign val="subscript"/>
        <sz val="9"/>
        <color theme="1"/>
        <rFont val="Arial"/>
        <family val="2"/>
      </rPr>
      <t>r</t>
    </r>
    <r>
      <rPr>
        <sz val="9"/>
        <color theme="1"/>
        <rFont val="Arial"/>
        <family val="2"/>
      </rPr>
      <t>/</t>
    </r>
    <r>
      <rPr>
        <sz val="9"/>
        <color theme="1"/>
        <rFont val="Calibri"/>
        <family val="2"/>
      </rPr>
      <t>π</t>
    </r>
  </si>
  <si>
    <r>
      <rPr>
        <sz val="9"/>
        <color theme="1"/>
        <rFont val="Calibri"/>
        <family val="2"/>
      </rPr>
      <t>A</t>
    </r>
    <r>
      <rPr>
        <vertAlign val="subscript"/>
        <sz val="9"/>
        <rFont val="Arial"/>
        <family val="2"/>
      </rPr>
      <t>cp</t>
    </r>
    <r>
      <rPr>
        <sz val="9"/>
        <rFont val="Arial"/>
        <family val="2"/>
      </rPr>
      <t xml:space="preserve"> =</t>
    </r>
  </si>
  <si>
    <r>
      <rPr>
        <sz val="9"/>
        <color theme="1"/>
        <rFont val="Calibri"/>
        <family val="2"/>
      </rPr>
      <t>p</t>
    </r>
    <r>
      <rPr>
        <vertAlign val="subscript"/>
        <sz val="9"/>
        <rFont val="Arial"/>
        <family val="2"/>
      </rPr>
      <t>c</t>
    </r>
    <r>
      <rPr>
        <sz val="9"/>
        <rFont val="Arial"/>
        <family val="2"/>
      </rPr>
      <t xml:space="preserve"> =</t>
    </r>
  </si>
  <si>
    <r>
      <rPr>
        <sz val="9"/>
        <color theme="1"/>
        <rFont val="Calibri"/>
        <family val="2"/>
      </rPr>
      <t>f</t>
    </r>
    <r>
      <rPr>
        <vertAlign val="subscript"/>
        <sz val="9"/>
        <rFont val="Arial"/>
        <family val="2"/>
      </rPr>
      <t>pc</t>
    </r>
    <r>
      <rPr>
        <sz val="9"/>
        <rFont val="Arial"/>
        <family val="2"/>
      </rPr>
      <t xml:space="preserve"> =</t>
    </r>
  </si>
  <si>
    <r>
      <rPr>
        <sz val="9"/>
        <color theme="1"/>
        <rFont val="Calibri"/>
        <family val="2"/>
      </rPr>
      <t>T</t>
    </r>
    <r>
      <rPr>
        <vertAlign val="subscript"/>
        <sz val="9"/>
        <rFont val="Arial"/>
        <family val="2"/>
      </rPr>
      <t>cr</t>
    </r>
    <r>
      <rPr>
        <sz val="9"/>
        <rFont val="Arial"/>
        <family val="2"/>
      </rPr>
      <t xml:space="preserve"> =</t>
    </r>
  </si>
  <si>
    <r>
      <t>0.25φT</t>
    </r>
    <r>
      <rPr>
        <vertAlign val="subscript"/>
        <sz val="9"/>
        <color theme="1"/>
        <rFont val="Arial"/>
        <family val="2"/>
      </rPr>
      <t>cr</t>
    </r>
    <r>
      <rPr>
        <sz val="9"/>
        <color theme="1"/>
        <rFont val="Arial"/>
        <family val="2"/>
      </rPr>
      <t xml:space="preserve"> =</t>
    </r>
  </si>
  <si>
    <r>
      <rPr>
        <sz val="9"/>
        <color theme="1"/>
        <rFont val="Calibri"/>
        <family val="2"/>
      </rPr>
      <t>T</t>
    </r>
    <r>
      <rPr>
        <vertAlign val="subscript"/>
        <sz val="9"/>
        <rFont val="Arial"/>
        <family val="2"/>
      </rPr>
      <t>u</t>
    </r>
    <r>
      <rPr>
        <sz val="9"/>
        <rFont val="Arial"/>
        <family val="2"/>
      </rPr>
      <t xml:space="preserve"> =</t>
    </r>
  </si>
  <si>
    <r>
      <t>d</t>
    </r>
    <r>
      <rPr>
        <vertAlign val="subscript"/>
        <sz val="9"/>
        <color theme="1"/>
        <rFont val="Arial"/>
        <family val="2"/>
      </rPr>
      <t>v</t>
    </r>
    <r>
      <rPr>
        <sz val="9"/>
        <color theme="1"/>
        <rFont val="Arial"/>
        <family val="2"/>
      </rPr>
      <t xml:space="preserve"> =</t>
    </r>
  </si>
  <si>
    <r>
      <t>M</t>
    </r>
    <r>
      <rPr>
        <vertAlign val="subscript"/>
        <sz val="9"/>
        <color theme="1"/>
        <rFont val="Arial"/>
        <family val="2"/>
      </rPr>
      <t>n</t>
    </r>
    <r>
      <rPr>
        <sz val="9"/>
        <color theme="1"/>
        <rFont val="Arial"/>
        <family val="2"/>
      </rPr>
      <t xml:space="preserve"> / A</t>
    </r>
    <r>
      <rPr>
        <vertAlign val="subscript"/>
        <sz val="9"/>
        <color theme="1"/>
        <rFont val="Arial"/>
        <family val="2"/>
      </rPr>
      <t>s</t>
    </r>
    <r>
      <rPr>
        <sz val="9"/>
        <color theme="1"/>
        <rFont val="Arial"/>
        <family val="2"/>
      </rPr>
      <t>f</t>
    </r>
    <r>
      <rPr>
        <vertAlign val="subscript"/>
        <sz val="9"/>
        <color theme="1"/>
        <rFont val="Arial"/>
        <family val="2"/>
      </rPr>
      <t>y</t>
    </r>
    <r>
      <rPr>
        <sz val="9"/>
        <color theme="1"/>
        <rFont val="Arial"/>
        <family val="2"/>
      </rPr>
      <t xml:space="preserve"> =</t>
    </r>
  </si>
  <si>
    <r>
      <t>0.9*d</t>
    </r>
    <r>
      <rPr>
        <vertAlign val="subscript"/>
        <sz val="9"/>
        <color theme="1"/>
        <rFont val="Calibri"/>
        <family val="2"/>
        <scheme val="minor"/>
      </rPr>
      <t>s</t>
    </r>
    <r>
      <rPr>
        <sz val="9"/>
        <color theme="1"/>
        <rFont val="Calibri"/>
        <family val="2"/>
        <scheme val="minor"/>
      </rPr>
      <t xml:space="preserve"> =</t>
    </r>
  </si>
  <si>
    <r>
      <rPr>
        <sz val="9"/>
        <color theme="1"/>
        <rFont val="Calibri"/>
        <family val="2"/>
      </rPr>
      <t>v</t>
    </r>
    <r>
      <rPr>
        <vertAlign val="subscript"/>
        <sz val="9"/>
        <rFont val="Arial"/>
        <family val="2"/>
      </rPr>
      <t>u</t>
    </r>
    <r>
      <rPr>
        <sz val="9"/>
        <rFont val="Arial"/>
        <family val="2"/>
      </rPr>
      <t xml:space="preserve"> =</t>
    </r>
  </si>
  <si>
    <r>
      <t>V</t>
    </r>
    <r>
      <rPr>
        <vertAlign val="subscript"/>
        <sz val="9"/>
        <color theme="1"/>
        <rFont val="Arial"/>
        <family val="2"/>
      </rPr>
      <t>u</t>
    </r>
    <r>
      <rPr>
        <sz val="9"/>
        <color theme="1"/>
        <rFont val="Arial"/>
        <family val="2"/>
      </rPr>
      <t xml:space="preserve"> &gt;</t>
    </r>
  </si>
  <si>
    <r>
      <t>0.5</t>
    </r>
    <r>
      <rPr>
        <sz val="9"/>
        <color theme="1"/>
        <rFont val="Calibri"/>
        <family val="2"/>
      </rPr>
      <t>φ</t>
    </r>
    <r>
      <rPr>
        <sz val="9"/>
        <color theme="1"/>
        <rFont val="Arial"/>
        <family val="2"/>
      </rPr>
      <t>V</t>
    </r>
    <r>
      <rPr>
        <vertAlign val="subscript"/>
        <sz val="9"/>
        <color theme="1"/>
        <rFont val="Arial"/>
        <family val="2"/>
      </rPr>
      <t>c</t>
    </r>
  </si>
  <si>
    <r>
      <t>V</t>
    </r>
    <r>
      <rPr>
        <vertAlign val="subscript"/>
        <sz val="9"/>
        <color theme="1"/>
        <rFont val="Arial"/>
        <family val="2"/>
      </rPr>
      <t>u</t>
    </r>
    <r>
      <rPr>
        <sz val="9"/>
        <color theme="1"/>
        <rFont val="Arial"/>
        <family val="2"/>
      </rPr>
      <t xml:space="preserve"> =</t>
    </r>
  </si>
  <si>
    <r>
      <t>0.5</t>
    </r>
    <r>
      <rPr>
        <sz val="9"/>
        <color theme="1"/>
        <rFont val="Calibri"/>
        <family val="2"/>
      </rPr>
      <t>φ</t>
    </r>
    <r>
      <rPr>
        <sz val="9"/>
        <color theme="1"/>
        <rFont val="Arial"/>
        <family val="2"/>
      </rPr>
      <t>V</t>
    </r>
    <r>
      <rPr>
        <vertAlign val="subscript"/>
        <sz val="9"/>
        <color theme="1"/>
        <rFont val="Arial"/>
        <family val="2"/>
      </rPr>
      <t>c</t>
    </r>
    <r>
      <rPr>
        <sz val="9"/>
        <color theme="1"/>
        <rFont val="Arial"/>
        <family val="2"/>
      </rPr>
      <t xml:space="preserve"> =</t>
    </r>
  </si>
  <si>
    <r>
      <t>A</t>
    </r>
    <r>
      <rPr>
        <vertAlign val="subscript"/>
        <sz val="9"/>
        <color theme="1"/>
        <rFont val="Calibri"/>
        <family val="2"/>
        <scheme val="minor"/>
      </rPr>
      <t>v, min</t>
    </r>
    <r>
      <rPr>
        <sz val="9"/>
        <color theme="1"/>
        <rFont val="Calibri"/>
        <family val="2"/>
        <scheme val="minor"/>
      </rPr>
      <t xml:space="preserve"> </t>
    </r>
    <r>
      <rPr>
        <sz val="9"/>
        <color theme="1"/>
        <rFont val="Calibri"/>
        <family val="2"/>
      </rPr>
      <t>≥</t>
    </r>
  </si>
  <si>
    <r>
      <t>A</t>
    </r>
    <r>
      <rPr>
        <vertAlign val="subscript"/>
        <sz val="9"/>
        <color theme="1"/>
        <rFont val="Calibri"/>
        <family val="2"/>
        <scheme val="minor"/>
      </rPr>
      <t>v, prov'd</t>
    </r>
    <r>
      <rPr>
        <sz val="9"/>
        <color theme="1"/>
        <rFont val="Calibri"/>
        <family val="2"/>
        <scheme val="minor"/>
      </rPr>
      <t xml:space="preserve"> =</t>
    </r>
  </si>
  <si>
    <r>
      <t>v</t>
    </r>
    <r>
      <rPr>
        <vertAlign val="subscript"/>
        <sz val="9"/>
        <color theme="1"/>
        <rFont val="Arial"/>
        <family val="2"/>
      </rPr>
      <t>u</t>
    </r>
    <r>
      <rPr>
        <sz val="9"/>
        <color theme="1"/>
        <rFont val="Arial"/>
        <family val="2"/>
      </rPr>
      <t xml:space="preserve"> =</t>
    </r>
  </si>
  <si>
    <r>
      <t>0.125f'</t>
    </r>
    <r>
      <rPr>
        <vertAlign val="subscript"/>
        <sz val="9"/>
        <color theme="1"/>
        <rFont val="Arial"/>
        <family val="2"/>
      </rPr>
      <t>c</t>
    </r>
    <r>
      <rPr>
        <sz val="9"/>
        <color theme="1"/>
        <rFont val="Arial"/>
        <family val="2"/>
      </rPr>
      <t xml:space="preserve"> =</t>
    </r>
  </si>
  <si>
    <r>
      <t>If v</t>
    </r>
    <r>
      <rPr>
        <vertAlign val="subscript"/>
        <sz val="9"/>
        <color theme="1"/>
        <rFont val="Arial"/>
        <family val="2"/>
      </rPr>
      <t>u</t>
    </r>
    <r>
      <rPr>
        <sz val="9"/>
        <color theme="1"/>
        <rFont val="Arial"/>
        <family val="2"/>
      </rPr>
      <t xml:space="preserve"> &lt; 0.125f'c, then:</t>
    </r>
  </si>
  <si>
    <r>
      <t>If v</t>
    </r>
    <r>
      <rPr>
        <vertAlign val="subscript"/>
        <sz val="9"/>
        <color theme="1"/>
        <rFont val="Arial"/>
        <family val="2"/>
      </rPr>
      <t>u</t>
    </r>
    <r>
      <rPr>
        <sz val="9"/>
        <color theme="1"/>
        <rFont val="Arial"/>
        <family val="2"/>
      </rPr>
      <t xml:space="preserve"> ≥ 0.125f'c, then:</t>
    </r>
  </si>
  <si>
    <r>
      <t>s</t>
    </r>
    <r>
      <rPr>
        <vertAlign val="subscript"/>
        <sz val="9"/>
        <color theme="1"/>
        <rFont val="Arial"/>
        <family val="2"/>
      </rPr>
      <t>max</t>
    </r>
    <r>
      <rPr>
        <sz val="9"/>
        <color theme="1"/>
        <rFont val="Arial"/>
        <family val="2"/>
      </rPr>
      <t xml:space="preserve"> =</t>
    </r>
  </si>
  <si>
    <r>
      <t>s</t>
    </r>
    <r>
      <rPr>
        <vertAlign val="subscript"/>
        <sz val="9"/>
        <color theme="1"/>
        <rFont val="Calibri"/>
        <family val="2"/>
        <scheme val="minor"/>
      </rPr>
      <t>v, prov'd</t>
    </r>
    <r>
      <rPr>
        <sz val="9"/>
        <color theme="1"/>
        <rFont val="Calibri"/>
        <family val="2"/>
        <scheme val="minor"/>
      </rPr>
      <t xml:space="preserve"> =</t>
    </r>
  </si>
  <si>
    <r>
      <t xml:space="preserve"> 0.25*f'</t>
    </r>
    <r>
      <rPr>
        <vertAlign val="subscript"/>
        <sz val="9"/>
        <rFont val="Arial"/>
        <family val="2"/>
      </rPr>
      <t>c</t>
    </r>
    <r>
      <rPr>
        <sz val="9"/>
        <rFont val="Arial"/>
        <family val="2"/>
      </rPr>
      <t>*b</t>
    </r>
    <r>
      <rPr>
        <vertAlign val="subscript"/>
        <sz val="9"/>
        <rFont val="Arial"/>
        <family val="2"/>
      </rPr>
      <t>v</t>
    </r>
    <r>
      <rPr>
        <sz val="9"/>
        <rFont val="Arial"/>
        <family val="2"/>
      </rPr>
      <t>*d</t>
    </r>
    <r>
      <rPr>
        <vertAlign val="subscript"/>
        <sz val="9"/>
        <rFont val="Arial"/>
        <family val="2"/>
      </rPr>
      <t>v</t>
    </r>
    <r>
      <rPr>
        <sz val="9"/>
        <rFont val="Arial"/>
        <family val="2"/>
      </rPr>
      <t xml:space="preserve"> = V</t>
    </r>
    <r>
      <rPr>
        <vertAlign val="subscript"/>
        <sz val="9"/>
        <rFont val="Arial"/>
        <family val="2"/>
      </rPr>
      <t>n</t>
    </r>
    <r>
      <rPr>
        <sz val="9"/>
        <rFont val="Arial"/>
        <family val="2"/>
      </rPr>
      <t xml:space="preserve"> =</t>
    </r>
  </si>
  <si>
    <r>
      <rPr>
        <sz val="9"/>
        <color theme="1"/>
        <rFont val="Calibri"/>
        <family val="2"/>
      </rPr>
      <t>ɸ</t>
    </r>
    <r>
      <rPr>
        <sz val="9"/>
        <color theme="1"/>
        <rFont val="Arial"/>
        <family val="2"/>
      </rPr>
      <t>V</t>
    </r>
    <r>
      <rPr>
        <vertAlign val="subscript"/>
        <sz val="9"/>
        <color theme="1"/>
        <rFont val="Arial"/>
        <family val="2"/>
      </rPr>
      <t>n</t>
    </r>
    <r>
      <rPr>
        <sz val="9"/>
        <color theme="1"/>
        <rFont val="Arial"/>
        <family val="2"/>
      </rPr>
      <t xml:space="preserve"> =</t>
    </r>
  </si>
  <si>
    <r>
      <rPr>
        <sz val="9"/>
        <color theme="1"/>
        <rFont val="Calibri"/>
        <family val="2"/>
      </rPr>
      <t>ε</t>
    </r>
    <r>
      <rPr>
        <vertAlign val="subscript"/>
        <sz val="9"/>
        <color theme="1"/>
        <rFont val="Arial"/>
        <family val="2"/>
      </rPr>
      <t>s</t>
    </r>
    <r>
      <rPr>
        <sz val="9"/>
        <color theme="1"/>
        <rFont val="Arial"/>
        <family val="2"/>
      </rPr>
      <t xml:space="preserve"> =</t>
    </r>
  </si>
  <si>
    <r>
      <rPr>
        <sz val="9"/>
        <color theme="1"/>
        <rFont val="Calibri"/>
        <family val="2"/>
      </rPr>
      <t>β</t>
    </r>
    <r>
      <rPr>
        <sz val="9"/>
        <color theme="1"/>
        <rFont val="Arial"/>
        <family val="2"/>
      </rPr>
      <t xml:space="preserve"> =</t>
    </r>
  </si>
  <si>
    <r>
      <rPr>
        <sz val="9"/>
        <color theme="1"/>
        <rFont val="Calibri"/>
        <family val="2"/>
      </rPr>
      <t>θ</t>
    </r>
    <r>
      <rPr>
        <sz val="9"/>
        <color theme="1"/>
        <rFont val="Arial"/>
        <family val="2"/>
      </rPr>
      <t xml:space="preserve"> =</t>
    </r>
  </si>
  <si>
    <r>
      <rPr>
        <sz val="9"/>
        <color theme="1"/>
        <rFont val="Calibri"/>
        <family val="2"/>
      </rPr>
      <t>V</t>
    </r>
    <r>
      <rPr>
        <vertAlign val="subscript"/>
        <sz val="9"/>
        <rFont val="Arial"/>
        <family val="2"/>
      </rPr>
      <t>c</t>
    </r>
    <r>
      <rPr>
        <sz val="9"/>
        <rFont val="Arial"/>
        <family val="2"/>
      </rPr>
      <t xml:space="preserve"> =</t>
    </r>
  </si>
  <si>
    <r>
      <rPr>
        <sz val="9"/>
        <color theme="1"/>
        <rFont val="Calibri"/>
        <family val="2"/>
      </rPr>
      <t>cohesion, s</t>
    </r>
    <r>
      <rPr>
        <vertAlign val="subscript"/>
        <sz val="9"/>
        <color theme="1"/>
        <rFont val="Calibri"/>
        <family val="2"/>
      </rPr>
      <t>u</t>
    </r>
    <r>
      <rPr>
        <sz val="9"/>
        <rFont val="Arial"/>
        <family val="2"/>
      </rPr>
      <t xml:space="preserve"> =</t>
    </r>
  </si>
  <si>
    <r>
      <t>T</t>
    </r>
    <r>
      <rPr>
        <vertAlign val="subscript"/>
        <sz val="9"/>
        <color theme="1"/>
        <rFont val="Arial"/>
        <family val="2"/>
      </rPr>
      <t>s</t>
    </r>
    <r>
      <rPr>
        <sz val="9"/>
        <color theme="1"/>
        <rFont val="Arial"/>
        <family val="2"/>
      </rPr>
      <t xml:space="preserve"> =</t>
    </r>
  </si>
  <si>
    <r>
      <t>T</t>
    </r>
    <r>
      <rPr>
        <vertAlign val="subscript"/>
        <sz val="9"/>
        <color theme="1"/>
        <rFont val="Arial"/>
        <family val="2"/>
      </rPr>
      <t>t</t>
    </r>
    <r>
      <rPr>
        <sz val="9"/>
        <color theme="1"/>
        <rFont val="Arial"/>
        <family val="2"/>
      </rPr>
      <t xml:space="preserve"> =</t>
    </r>
  </si>
  <si>
    <r>
      <rPr>
        <sz val="9"/>
        <color theme="1"/>
        <rFont val="Calibri"/>
        <family val="2"/>
      </rPr>
      <t>ɸ</t>
    </r>
    <r>
      <rPr>
        <sz val="9"/>
        <color theme="1"/>
        <rFont val="Arial"/>
        <family val="2"/>
      </rPr>
      <t>T</t>
    </r>
    <r>
      <rPr>
        <vertAlign val="subscript"/>
        <sz val="9"/>
        <color theme="1"/>
        <rFont val="Arial"/>
        <family val="2"/>
      </rPr>
      <t>n</t>
    </r>
    <r>
      <rPr>
        <sz val="9"/>
        <color theme="1"/>
        <rFont val="Arial"/>
        <family val="2"/>
      </rPr>
      <t xml:space="preserve"> =</t>
    </r>
  </si>
  <si>
    <r>
      <rPr>
        <sz val="9"/>
        <color theme="1"/>
        <rFont val="Calibri"/>
        <family val="2"/>
      </rPr>
      <t xml:space="preserve">unit weight, </t>
    </r>
    <r>
      <rPr>
        <sz val="9"/>
        <color theme="1"/>
        <rFont val="Arial"/>
        <family val="2"/>
      </rPr>
      <t>ᵞ</t>
    </r>
    <r>
      <rPr>
        <sz val="9"/>
        <rFont val="Arial"/>
        <family val="2"/>
      </rPr>
      <t xml:space="preserve"> =</t>
    </r>
  </si>
  <si>
    <r>
      <t xml:space="preserve">friction angle, </t>
    </r>
    <r>
      <rPr>
        <sz val="9"/>
        <color theme="1"/>
        <rFont val="Cambria"/>
        <family val="1"/>
      </rPr>
      <t>φ</t>
    </r>
    <r>
      <rPr>
        <sz val="9"/>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</si>
</sst>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000"/>
    <numFmt numFmtId="166" formatCode="#,##0.0000"/>
    <numFmt numFmtId="167" formatCode="#,##0.0"/>
  </numFmts>
  <fonts count="5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9"/>
      <color theme="1"/>
      <name val="Calibri"/>
      <family val="2"/>
      <scheme val="minor"/>
    </font>
    <font>
      <sz val="10"/>
      <color theme="1"/>
      <name val="Arial"/>
      <family val="2"/>
    </font>
    <font>
      <sz val="10"/>
      <name val="Arial"/>
      <family val="2"/>
    </font>
    <font>
      <b/>
      <sz val="10"/>
      <name val="Arial"/>
      <family val="2"/>
    </font>
    <font>
      <b/>
      <sz val="10"/>
      <color theme="1"/>
      <name val="Arial"/>
      <family val="2"/>
    </font>
    <font>
      <b/>
      <sz val="14"/>
      <name val="Arial"/>
      <family val="2"/>
    </font>
    <font>
      <sz val="8"/>
      <name val="Arial"/>
      <family val="2"/>
    </font>
    <font>
      <b/>
      <sz val="11"/>
      <name val="Arial"/>
      <family val="2"/>
    </font>
    <font>
      <i/>
      <sz val="10"/>
      <name val="Arial"/>
      <family val="2"/>
    </font>
    <font>
      <b/>
      <sz val="10"/>
      <color rgb="FF9C0006"/>
      <name val="Times New Roman"/>
      <family val="2"/>
    </font>
    <font>
      <b/>
      <sz val="10"/>
      <color rgb="FF006100"/>
      <name val="Times New Roman"/>
      <family val="2"/>
    </font>
    <font>
      <b/>
      <sz val="11"/>
      <name val="Times New Roman"/>
      <family val="1"/>
    </font>
    <font>
      <b/>
      <sz val="9"/>
      <color rgb="FFFF0000"/>
      <name val="Arial"/>
      <family val="2"/>
    </font>
    <font>
      <sz val="10"/>
      <color theme="1"/>
      <name val="Times New Roman"/>
      <family val="2"/>
    </font>
    <font>
      <sz val="10"/>
      <name val="Times New Roman"/>
      <family val="2"/>
    </font>
    <font>
      <b/>
      <sz val="9"/>
      <color rgb="FF0000FF"/>
      <name val="Calibri"/>
      <family val="2"/>
    </font>
    <font>
      <sz val="11"/>
      <color rgb="FF3F3F76"/>
      <name val="Calibri"/>
      <family val="2"/>
      <scheme val="minor"/>
    </font>
    <font>
      <b/>
      <sz val="11"/>
      <color rgb="FFFA7D00"/>
      <name val="Calibri"/>
      <family val="2"/>
      <scheme val="minor"/>
    </font>
    <font>
      <sz val="11"/>
      <color rgb="FFFA7D00"/>
      <name val="Calibri"/>
      <family val="2"/>
      <scheme val="minor"/>
    </font>
    <font>
      <sz val="10"/>
      <color rgb="FF006100"/>
      <name val="Times New Roman"/>
      <family val="2"/>
    </font>
    <font>
      <sz val="10"/>
      <color rgb="FF9C0006"/>
      <name val="Times New Roman"/>
      <family val="2"/>
    </font>
    <font>
      <b/>
      <sz val="10"/>
      <name val="Times New Roman"/>
      <family val="2"/>
    </font>
    <font>
      <i/>
      <sz val="9"/>
      <color theme="10"/>
      <name val="Times New Roman"/>
      <family val="1"/>
    </font>
    <font>
      <i/>
      <sz val="10"/>
      <color theme="9" tint="-0.24994659260841701"/>
      <name val="Times New Roman"/>
      <family val="2"/>
    </font>
    <font>
      <sz val="9"/>
      <color theme="1"/>
      <name val="Arial"/>
      <family val="2"/>
    </font>
    <font>
      <b/>
      <sz val="9"/>
      <name val="Arial"/>
      <family val="2"/>
    </font>
    <font>
      <b/>
      <sz val="9"/>
      <color theme="1"/>
      <name val="Arial"/>
      <family val="2"/>
    </font>
    <font>
      <sz val="9"/>
      <color rgb="FF000000"/>
      <name val="Arial"/>
      <family val="2"/>
    </font>
    <font>
      <b/>
      <sz val="9"/>
      <color theme="1"/>
      <name val="Calibri"/>
      <family val="2"/>
      <scheme val="minor"/>
    </font>
    <font>
      <sz val="9"/>
      <name val="Arial"/>
      <family val="2"/>
    </font>
    <font>
      <sz val="9"/>
      <color theme="1"/>
      <name val="Times New Roman"/>
      <family val="2"/>
    </font>
    <font>
      <sz val="9"/>
      <name val="Arial"/>
      <family val="1"/>
    </font>
    <font>
      <sz val="9"/>
      <name val="Cambria"/>
      <family val="1"/>
    </font>
    <font>
      <vertAlign val="subscript"/>
      <sz val="9"/>
      <name val="Candara"/>
      <family val="2"/>
    </font>
    <font>
      <vertAlign val="subscript"/>
      <sz val="9"/>
      <name val="Arial"/>
      <family val="2"/>
    </font>
    <font>
      <sz val="9"/>
      <color theme="1"/>
      <name val="Calibri"/>
      <family val="2"/>
    </font>
    <font>
      <vertAlign val="subscript"/>
      <sz val="9"/>
      <color theme="1"/>
      <name val="Arial"/>
      <family val="2"/>
    </font>
    <font>
      <i/>
      <sz val="9"/>
      <name val="Arial"/>
      <family val="2"/>
    </font>
    <font>
      <sz val="9"/>
      <color rgb="FFFA7D00"/>
      <name val="Calibri"/>
      <family val="2"/>
      <scheme val="minor"/>
    </font>
    <font>
      <sz val="9"/>
      <color rgb="FF3F3F76"/>
      <name val="Calibri"/>
      <family val="2"/>
      <scheme val="minor"/>
    </font>
    <font>
      <b/>
      <sz val="9"/>
      <color rgb="FFFA7D00"/>
      <name val="Calibri"/>
      <family val="2"/>
      <scheme val="minor"/>
    </font>
    <font>
      <vertAlign val="superscript"/>
      <sz val="9"/>
      <color theme="1"/>
      <name val="Times New Roman"/>
      <family val="1"/>
    </font>
    <font>
      <vertAlign val="superscript"/>
      <sz val="9"/>
      <color theme="1"/>
      <name val="Arial"/>
      <family val="2"/>
    </font>
    <font>
      <vertAlign val="subscript"/>
      <sz val="9"/>
      <color theme="1"/>
      <name val="Times New Roman"/>
      <family val="2"/>
    </font>
    <font>
      <sz val="9"/>
      <color theme="1"/>
      <name val="Times New Roman"/>
      <family val="1"/>
    </font>
    <font>
      <vertAlign val="subscript"/>
      <sz val="9"/>
      <color theme="1"/>
      <name val="Times New Roman"/>
      <family val="1"/>
    </font>
    <font>
      <b/>
      <sz val="9"/>
      <color theme="1"/>
      <name val="Arial"/>
      <family val="1"/>
    </font>
    <font>
      <b/>
      <sz val="9"/>
      <color theme="1"/>
      <name val="Cambria"/>
      <family val="1"/>
    </font>
    <font>
      <b/>
      <vertAlign val="subscript"/>
      <sz val="9"/>
      <color theme="1"/>
      <name val="Arial"/>
      <family val="2"/>
    </font>
    <font>
      <sz val="9"/>
      <name val="Calibri"/>
      <family val="2"/>
    </font>
    <font>
      <vertAlign val="subscript"/>
      <sz val="9"/>
      <color theme="1"/>
      <name val="Calibri"/>
      <family val="2"/>
    </font>
    <font>
      <vertAlign val="subscript"/>
      <sz val="9"/>
      <color theme="1"/>
      <name val="Calibri"/>
      <family val="2"/>
      <scheme val="minor"/>
    </font>
    <font>
      <u/>
      <sz val="9"/>
      <color theme="1"/>
      <name val="Arial"/>
      <family val="2"/>
    </font>
    <font>
      <sz val="9"/>
      <color theme="1"/>
      <name val="Cambria"/>
      <family val="1"/>
    </font>
    <font>
      <b/>
      <sz val="12"/>
      <name val="Arial"/>
      <family val="2"/>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14996795556505021"/>
        <bgColor indexed="64"/>
      </patternFill>
    </fill>
    <fill>
      <patternFill patternType="solid">
        <fgColor rgb="FFFFCC99"/>
      </patternFill>
    </fill>
    <fill>
      <patternFill patternType="solid">
        <fgColor rgb="FFF2F2F2"/>
      </patternFill>
    </fill>
    <fill>
      <patternFill patternType="solid">
        <fgColor rgb="FFFFD54F"/>
        <bgColor indexed="64"/>
      </patternFill>
    </fill>
    <fill>
      <patternFill patternType="solid">
        <fgColor theme="8" tint="0.79998168889431442"/>
        <bgColor indexed="64"/>
      </patternFill>
    </fill>
    <fill>
      <patternFill patternType="solid">
        <fgColor theme="3" tint="0.79998168889431442"/>
        <bgColor indexed="64"/>
      </patternFill>
    </fill>
  </fills>
  <borders count="1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diagonal/>
    </border>
    <border>
      <left/>
      <right/>
      <top/>
      <bottom style="thin">
        <color rgb="FF7F7F7F"/>
      </bottom>
      <diagonal/>
    </border>
    <border>
      <left/>
      <right/>
      <top/>
      <bottom style="thin">
        <color theme="1" tint="0.499984740745262"/>
      </bottom>
      <diagonal/>
    </border>
  </borders>
  <cellStyleXfs count="35">
    <xf numFmtId="4" fontId="0" fillId="0" borderId="0">
      <alignment vertical="center"/>
    </xf>
    <xf numFmtId="2" fontId="9" fillId="0" borderId="0" applyProtection="0">
      <alignment horizontal="right" vertical="center"/>
    </xf>
    <xf numFmtId="2" fontId="11" fillId="0" borderId="0">
      <alignment vertical="center"/>
    </xf>
    <xf numFmtId="2" fontId="10" fillId="0" borderId="0">
      <alignment vertical="center"/>
    </xf>
    <xf numFmtId="2" fontId="12" fillId="0" borderId="0">
      <alignment vertical="center"/>
    </xf>
    <xf numFmtId="2" fontId="6" fillId="0" borderId="0" applyProtection="0">
      <alignment horizontal="center" vertical="center"/>
    </xf>
    <xf numFmtId="2" fontId="6" fillId="7" borderId="0" applyProtection="0">
      <alignment horizontal="center" vertical="center"/>
    </xf>
    <xf numFmtId="2" fontId="15" fillId="0" borderId="0" applyProtection="0">
      <alignment vertical="center"/>
    </xf>
    <xf numFmtId="2" fontId="6" fillId="0" borderId="0" applyBorder="0" applyProtection="0">
      <alignment horizontal="right" vertical="center"/>
    </xf>
    <xf numFmtId="2" fontId="13" fillId="3" borderId="0" applyProtection="0">
      <alignment horizontal="center"/>
    </xf>
    <xf numFmtId="2" fontId="14" fillId="2" borderId="0" applyBorder="0" applyProtection="0">
      <alignment horizontal="center"/>
    </xf>
    <xf numFmtId="0" fontId="10" fillId="0" borderId="0" applyNumberFormat="0" applyFill="0" applyBorder="0" applyAlignment="0" applyProtection="0"/>
    <xf numFmtId="2" fontId="7" fillId="0" borderId="0" applyBorder="0">
      <alignment horizontal="centerContinuous" vertical="center"/>
    </xf>
    <xf numFmtId="0" fontId="6" fillId="0" borderId="0">
      <alignment vertical="center"/>
    </xf>
    <xf numFmtId="0" fontId="6" fillId="0" borderId="0" applyNumberFormat="0" applyFont="0" applyFill="0" applyBorder="0" applyProtection="0">
      <alignment horizontal="centerContinuous" vertical="center"/>
    </xf>
    <xf numFmtId="2" fontId="6" fillId="6" borderId="0" applyProtection="0">
      <alignment horizontal="right" vertical="center"/>
    </xf>
    <xf numFmtId="2" fontId="6" fillId="5" borderId="0" applyProtection="0">
      <alignment horizontal="center"/>
    </xf>
    <xf numFmtId="43" fontId="5" fillId="0" borderId="0" applyFont="0" applyFill="0" applyBorder="0" applyAlignment="0" applyProtection="0"/>
    <xf numFmtId="0" fontId="20" fillId="8" borderId="13" applyNumberFormat="0" applyAlignment="0" applyProtection="0"/>
    <xf numFmtId="0" fontId="21" fillId="9" borderId="13" applyNumberFormat="0" applyAlignment="0" applyProtection="0"/>
    <xf numFmtId="0" fontId="22" fillId="0" borderId="14" applyNumberFormat="0" applyFill="0" applyAlignment="0" applyProtection="0"/>
    <xf numFmtId="2" fontId="17" fillId="0" borderId="0"/>
    <xf numFmtId="2" fontId="23" fillId="2" borderId="0" applyBorder="0" applyProtection="0">
      <alignment horizontal="center"/>
    </xf>
    <xf numFmtId="2" fontId="24" fillId="3" borderId="0" applyBorder="0" applyProtection="0">
      <alignment horizontal="center"/>
    </xf>
    <xf numFmtId="2" fontId="18" fillId="10" borderId="0" applyProtection="0">
      <alignment horizontal="center"/>
    </xf>
    <xf numFmtId="2" fontId="18" fillId="6" borderId="17" applyProtection="0">
      <alignment horizontal="center"/>
    </xf>
    <xf numFmtId="2" fontId="18" fillId="11" borderId="17" applyProtection="0">
      <alignment horizontal="center"/>
    </xf>
    <xf numFmtId="2" fontId="18" fillId="5" borderId="18" applyProtection="0">
      <alignment horizontal="center"/>
    </xf>
    <xf numFmtId="2" fontId="25" fillId="12" borderId="15" applyProtection="0">
      <alignment horizontal="center"/>
    </xf>
    <xf numFmtId="0" fontId="27" fillId="0" borderId="0" applyNumberFormat="0" applyFill="0" applyBorder="0" applyAlignment="0" applyProtection="0"/>
    <xf numFmtId="0" fontId="26" fillId="0" borderId="0" applyFill="0" applyBorder="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2" fillId="0" borderId="0"/>
  </cellStyleXfs>
  <cellXfs count="171">
    <xf numFmtId="4" fontId="0" fillId="0" borderId="0" xfId="0">
      <alignment vertical="center"/>
    </xf>
    <xf numFmtId="4" fontId="4" fillId="0" borderId="0" xfId="0" applyFont="1">
      <alignment vertical="center"/>
    </xf>
    <xf numFmtId="4" fontId="8" fillId="0" borderId="0" xfId="0" applyFont="1">
      <alignment vertical="center"/>
    </xf>
    <xf numFmtId="4" fontId="19" fillId="0" borderId="0" xfId="0" applyFont="1">
      <alignment vertical="center"/>
    </xf>
    <xf numFmtId="2" fontId="7" fillId="0" borderId="0" xfId="2" applyFont="1">
      <alignment vertical="center"/>
    </xf>
    <xf numFmtId="2" fontId="8" fillId="0" borderId="0" xfId="21" applyFont="1"/>
    <xf numFmtId="2" fontId="16" fillId="0" borderId="0" xfId="1" applyFont="1" applyAlignment="1">
      <alignment vertical="center" wrapText="1"/>
    </xf>
    <xf numFmtId="4" fontId="28" fillId="0" borderId="0" xfId="0" applyFont="1">
      <alignment vertical="center"/>
    </xf>
    <xf numFmtId="4" fontId="8" fillId="0" borderId="0" xfId="0" applyFont="1" applyAlignment="1">
      <alignment horizontal="center" vertical="center"/>
    </xf>
    <xf numFmtId="2" fontId="16" fillId="0" borderId="0" xfId="1" applyFont="1" applyAlignment="1">
      <alignment horizontal="justify" vertical="center" wrapText="1"/>
    </xf>
    <xf numFmtId="2" fontId="29" fillId="0" borderId="0" xfId="1" applyFont="1" applyAlignment="1">
      <alignment vertical="center" wrapText="1"/>
    </xf>
    <xf numFmtId="4" fontId="28" fillId="0" borderId="0" xfId="0" applyFont="1" applyAlignment="1">
      <alignment horizontal="center" vertical="center"/>
    </xf>
    <xf numFmtId="2" fontId="29" fillId="0" borderId="0" xfId="2" applyFont="1">
      <alignment vertical="center"/>
    </xf>
    <xf numFmtId="4" fontId="30" fillId="0" borderId="0" xfId="0" applyFont="1">
      <alignment vertical="center"/>
    </xf>
    <xf numFmtId="4" fontId="28" fillId="0" borderId="0" xfId="0" applyFont="1" applyAlignment="1">
      <alignment horizontal="left" vertical="top" wrapText="1"/>
    </xf>
    <xf numFmtId="4" fontId="28" fillId="0" borderId="0" xfId="0" applyFont="1" applyAlignment="1">
      <alignment vertical="center" wrapText="1"/>
    </xf>
    <xf numFmtId="4" fontId="28" fillId="0" borderId="0" xfId="0" applyFont="1" applyAlignment="1"/>
    <xf numFmtId="2" fontId="28" fillId="0" borderId="0" xfId="0" applyNumberFormat="1" applyFont="1" applyAlignment="1"/>
    <xf numFmtId="4" fontId="31" fillId="0" borderId="0" xfId="0" applyFont="1">
      <alignment vertical="center"/>
    </xf>
    <xf numFmtId="0" fontId="32" fillId="0" borderId="0" xfId="11" applyFont="1" applyFill="1" applyBorder="1" applyAlignment="1">
      <alignment vertical="center"/>
    </xf>
    <xf numFmtId="4" fontId="31" fillId="0" borderId="0" xfId="0" applyFont="1" applyAlignment="1">
      <alignment horizontal="left" vertical="center" wrapText="1"/>
    </xf>
    <xf numFmtId="4" fontId="33" fillId="0" borderId="0" xfId="0" applyFont="1">
      <alignment vertical="center"/>
    </xf>
    <xf numFmtId="4" fontId="34" fillId="0" borderId="0" xfId="0" applyFont="1" applyAlignment="1">
      <alignment horizontal="left"/>
    </xf>
    <xf numFmtId="4" fontId="28" fillId="0" borderId="0" xfId="0" applyFont="1" applyAlignment="1">
      <alignment horizontal="center"/>
    </xf>
    <xf numFmtId="4" fontId="28" fillId="0" borderId="0" xfId="0" applyFont="1" applyAlignment="1">
      <alignment horizontal="right" vertical="center"/>
    </xf>
    <xf numFmtId="1" fontId="33" fillId="7" borderId="0" xfId="6" applyNumberFormat="1" applyFont="1" applyProtection="1">
      <alignment horizontal="center" vertical="center"/>
      <protection locked="0"/>
    </xf>
    <xf numFmtId="4" fontId="35" fillId="0" borderId="0" xfId="0" applyFont="1" applyAlignment="1">
      <alignment horizontal="right" vertical="top"/>
    </xf>
    <xf numFmtId="1" fontId="33" fillId="7" borderId="0" xfId="6" applyNumberFormat="1" applyFont="1">
      <alignment horizontal="center" vertical="center"/>
    </xf>
    <xf numFmtId="4" fontId="29" fillId="0" borderId="0" xfId="0" applyFont="1">
      <alignment vertical="center"/>
    </xf>
    <xf numFmtId="1" fontId="33" fillId="0" borderId="0" xfId="6" applyNumberFormat="1" applyFont="1" applyFill="1" applyAlignment="1">
      <alignment vertical="center"/>
    </xf>
    <xf numFmtId="2" fontId="33" fillId="7" borderId="0" xfId="6" applyFont="1">
      <alignment horizontal="center" vertical="center"/>
    </xf>
    <xf numFmtId="165" fontId="33" fillId="7" borderId="0" xfId="6" applyNumberFormat="1" applyFont="1">
      <alignment horizontal="center" vertical="center"/>
    </xf>
    <xf numFmtId="4" fontId="33" fillId="0" borderId="0" xfId="0" applyFont="1" applyAlignment="1">
      <alignment horizontal="right" vertical="center"/>
    </xf>
    <xf numFmtId="0" fontId="41" fillId="0" borderId="0" xfId="11" applyFont="1" applyAlignment="1">
      <alignment vertical="center"/>
    </xf>
    <xf numFmtId="164" fontId="28" fillId="0" borderId="0" xfId="0" applyNumberFormat="1" applyFont="1">
      <alignment vertical="center"/>
    </xf>
    <xf numFmtId="4" fontId="28" fillId="0" borderId="0" xfId="0" applyFont="1" applyAlignment="1">
      <alignment horizontal="left" vertical="center"/>
    </xf>
    <xf numFmtId="4" fontId="28" fillId="0" borderId="11" xfId="0" applyFont="1" applyBorder="1" applyAlignment="1"/>
    <xf numFmtId="164" fontId="42" fillId="0" borderId="3" xfId="20" applyNumberFormat="1" applyFont="1" applyBorder="1" applyAlignment="1">
      <alignment horizontal="center"/>
    </xf>
    <xf numFmtId="4" fontId="28" fillId="0" borderId="3" xfId="0" applyFont="1" applyBorder="1" applyAlignment="1"/>
    <xf numFmtId="2" fontId="43" fillId="8" borderId="3" xfId="18" applyNumberFormat="1" applyFont="1" applyBorder="1" applyAlignment="1">
      <alignment horizontal="center"/>
    </xf>
    <xf numFmtId="4" fontId="28" fillId="0" borderId="12" xfId="0" applyFont="1" applyBorder="1" applyAlignment="1"/>
    <xf numFmtId="4" fontId="28" fillId="0" borderId="8" xfId="0" applyFont="1" applyBorder="1" applyAlignment="1"/>
    <xf numFmtId="164" fontId="44" fillId="9" borderId="0" xfId="19" applyNumberFormat="1" applyFont="1" applyBorder="1" applyAlignment="1">
      <alignment horizontal="center"/>
    </xf>
    <xf numFmtId="0" fontId="43" fillId="0" borderId="0" xfId="18" applyFont="1" applyFill="1" applyBorder="1" applyAlignment="1">
      <alignment horizontal="center"/>
    </xf>
    <xf numFmtId="4" fontId="28" fillId="0" borderId="10" xfId="0" applyFont="1" applyBorder="1" applyAlignment="1"/>
    <xf numFmtId="4" fontId="28" fillId="0" borderId="6" xfId="0" applyFont="1" applyBorder="1" applyAlignment="1"/>
    <xf numFmtId="164" fontId="44" fillId="9" borderId="1" xfId="19" applyNumberFormat="1" applyFont="1" applyBorder="1" applyAlignment="1">
      <alignment horizontal="center"/>
    </xf>
    <xf numFmtId="4" fontId="28" fillId="0" borderId="1" xfId="0" applyFont="1" applyBorder="1" applyAlignment="1"/>
    <xf numFmtId="4" fontId="28" fillId="0" borderId="9" xfId="0" applyFont="1" applyBorder="1" applyAlignment="1"/>
    <xf numFmtId="164" fontId="28" fillId="0" borderId="0" xfId="0" applyNumberFormat="1" applyFont="1" applyAlignment="1"/>
    <xf numFmtId="164" fontId="44" fillId="9" borderId="3" xfId="19" applyNumberFormat="1" applyFont="1" applyBorder="1" applyAlignment="1">
      <alignment horizontal="center"/>
    </xf>
    <xf numFmtId="164" fontId="28" fillId="0" borderId="0" xfId="0" applyNumberFormat="1" applyFont="1" applyAlignment="1">
      <alignment horizontal="center" vertical="center"/>
    </xf>
    <xf numFmtId="2" fontId="33" fillId="0" borderId="0" xfId="6" applyFont="1" applyFill="1">
      <alignment horizontal="center" vertical="center"/>
    </xf>
    <xf numFmtId="4" fontId="28" fillId="0" borderId="7" xfId="0" applyFont="1" applyBorder="1">
      <alignment vertical="center"/>
    </xf>
    <xf numFmtId="4" fontId="28" fillId="0" borderId="2" xfId="0" applyFont="1" applyBorder="1">
      <alignment vertical="center"/>
    </xf>
    <xf numFmtId="4" fontId="28" fillId="0" borderId="5" xfId="0" applyFont="1" applyBorder="1">
      <alignment vertical="center"/>
    </xf>
    <xf numFmtId="4" fontId="28" fillId="0" borderId="2" xfId="0" applyFont="1" applyBorder="1" applyAlignment="1">
      <alignment horizontal="center" vertical="center"/>
    </xf>
    <xf numFmtId="2" fontId="33" fillId="0" borderId="5" xfId="6" applyFont="1" applyFill="1" applyBorder="1">
      <alignment horizontal="center" vertical="center"/>
    </xf>
    <xf numFmtId="4" fontId="28" fillId="0" borderId="7" xfId="0" applyFont="1" applyBorder="1" applyAlignment="1">
      <alignment horizontal="center" vertical="center"/>
    </xf>
    <xf numFmtId="4" fontId="28" fillId="0" borderId="5" xfId="0" applyFont="1" applyBorder="1" applyAlignment="1">
      <alignment horizontal="center" vertical="center"/>
    </xf>
    <xf numFmtId="4" fontId="28" fillId="4" borderId="2" xfId="0" applyFont="1" applyFill="1" applyBorder="1" applyAlignment="1">
      <alignment horizontal="center" vertical="center"/>
    </xf>
    <xf numFmtId="2" fontId="33" fillId="7" borderId="2" xfId="6" applyFont="1" applyBorder="1">
      <alignment horizontal="center" vertical="center"/>
    </xf>
    <xf numFmtId="2" fontId="33" fillId="0" borderId="2" xfId="6" applyFont="1" applyFill="1" applyBorder="1">
      <alignment horizontal="center" vertical="center"/>
    </xf>
    <xf numFmtId="4" fontId="31" fillId="0" borderId="0" xfId="0" applyFont="1" applyAlignment="1">
      <alignment horizontal="justify" vertical="center" wrapText="1"/>
    </xf>
    <xf numFmtId="4" fontId="31" fillId="0" borderId="0" xfId="0" applyFont="1" applyAlignment="1">
      <alignment vertical="center" wrapText="1"/>
    </xf>
    <xf numFmtId="4" fontId="28" fillId="0" borderId="0" xfId="0" applyFont="1" applyAlignment="1">
      <alignment horizontal="justify" vertical="center" wrapText="1"/>
    </xf>
    <xf numFmtId="4" fontId="33" fillId="0" borderId="0" xfId="11" applyNumberFormat="1" applyFont="1" applyBorder="1" applyAlignment="1">
      <alignment vertical="center"/>
    </xf>
    <xf numFmtId="4" fontId="31" fillId="0" borderId="0" xfId="0" applyFont="1" applyAlignment="1">
      <alignment horizontal="left" vertical="center"/>
    </xf>
    <xf numFmtId="2" fontId="33" fillId="0" borderId="0" xfId="6" applyFont="1" applyFill="1">
      <alignment horizontal="center" vertical="center"/>
    </xf>
    <xf numFmtId="4" fontId="28" fillId="0" borderId="0" xfId="0" applyFont="1" applyAlignment="1">
      <alignment horizontal="center" vertical="center"/>
    </xf>
    <xf numFmtId="4" fontId="28" fillId="0" borderId="0" xfId="0" applyFont="1" applyAlignment="1">
      <alignment horizontal="right"/>
    </xf>
    <xf numFmtId="0" fontId="28" fillId="0" borderId="0" xfId="17" applyNumberFormat="1" applyFont="1" applyFill="1" applyBorder="1" applyAlignment="1">
      <alignment horizontal="center" vertical="center"/>
    </xf>
    <xf numFmtId="3" fontId="28" fillId="0" borderId="0" xfId="0" applyNumberFormat="1" applyFont="1" applyAlignment="1">
      <alignment horizontal="center" vertical="center"/>
    </xf>
    <xf numFmtId="164" fontId="28" fillId="0" borderId="0" xfId="0" applyNumberFormat="1" applyFont="1" applyAlignment="1">
      <alignment horizontal="left" vertical="center"/>
    </xf>
    <xf numFmtId="167" fontId="28" fillId="0" borderId="0" xfId="0" quotePrefix="1" applyNumberFormat="1" applyFont="1">
      <alignment vertical="center"/>
    </xf>
    <xf numFmtId="4" fontId="28" fillId="0" borderId="4" xfId="0" applyFont="1" applyBorder="1" applyAlignment="1">
      <alignment horizontal="center" vertical="center"/>
    </xf>
    <xf numFmtId="4" fontId="33" fillId="0" borderId="4" xfId="0" applyFont="1" applyBorder="1" applyAlignment="1">
      <alignment horizontal="center" vertical="center" wrapText="1"/>
    </xf>
    <xf numFmtId="4" fontId="28" fillId="0" borderId="4" xfId="0" applyFont="1" applyBorder="1" applyAlignment="1">
      <alignment horizontal="center" vertical="center" wrapText="1"/>
    </xf>
    <xf numFmtId="4" fontId="33" fillId="0" borderId="0" xfId="0" applyFont="1" applyAlignment="1">
      <alignment vertical="center" wrapText="1"/>
    </xf>
    <xf numFmtId="4" fontId="33" fillId="0" borderId="4" xfId="0" applyFont="1" applyBorder="1" applyAlignment="1">
      <alignment horizontal="center" vertical="center"/>
    </xf>
    <xf numFmtId="4" fontId="28" fillId="0" borderId="11" xfId="0" applyFont="1" applyBorder="1" applyAlignment="1">
      <alignment horizontal="left" vertical="center" wrapText="1"/>
    </xf>
    <xf numFmtId="4" fontId="28" fillId="0" borderId="3" xfId="0" applyFont="1" applyBorder="1" applyAlignment="1">
      <alignment horizontal="left" vertical="center" wrapText="1"/>
    </xf>
    <xf numFmtId="4" fontId="28" fillId="0" borderId="12" xfId="0" applyFont="1" applyBorder="1" applyAlignment="1">
      <alignment horizontal="left" vertical="center" wrapText="1"/>
    </xf>
    <xf numFmtId="4" fontId="50" fillId="0" borderId="16" xfId="0" applyFont="1" applyBorder="1" applyAlignment="1">
      <alignment horizontal="center" vertical="center"/>
    </xf>
    <xf numFmtId="4" fontId="30" fillId="0" borderId="16" xfId="0" applyFont="1" applyBorder="1" applyAlignment="1">
      <alignment horizontal="center" vertical="center"/>
    </xf>
    <xf numFmtId="4" fontId="50" fillId="0" borderId="12" xfId="0" applyFont="1" applyBorder="1" applyAlignment="1">
      <alignment horizontal="center" vertical="center"/>
    </xf>
    <xf numFmtId="4" fontId="30" fillId="0" borderId="11" xfId="0" applyFont="1" applyBorder="1" applyAlignment="1">
      <alignment horizontal="center" vertical="center"/>
    </xf>
    <xf numFmtId="4" fontId="28" fillId="0" borderId="11" xfId="0" applyFont="1" applyBorder="1" applyAlignment="1">
      <alignment horizontal="center" vertical="center"/>
    </xf>
    <xf numFmtId="4" fontId="28" fillId="0" borderId="3" xfId="0" applyFont="1" applyBorder="1" applyAlignment="1">
      <alignment horizontal="center" vertical="center"/>
    </xf>
    <xf numFmtId="4" fontId="28" fillId="0" borderId="12" xfId="0" applyFont="1" applyBorder="1" applyAlignment="1">
      <alignment horizontal="center" vertical="center"/>
    </xf>
    <xf numFmtId="4" fontId="28" fillId="0" borderId="11" xfId="0" applyFont="1" applyBorder="1" applyAlignment="1">
      <alignment horizontal="left" vertical="center"/>
    </xf>
    <xf numFmtId="4" fontId="28" fillId="0" borderId="3" xfId="0" applyFont="1" applyBorder="1" applyAlignment="1">
      <alignment horizontal="left" vertical="center"/>
    </xf>
    <xf numFmtId="2" fontId="28" fillId="0" borderId="11" xfId="0" applyNumberFormat="1" applyFont="1" applyBorder="1" applyAlignment="1">
      <alignment horizontal="center" vertical="center"/>
    </xf>
    <xf numFmtId="2" fontId="28" fillId="0" borderId="3" xfId="0" applyNumberFormat="1" applyFont="1" applyBorder="1" applyAlignment="1">
      <alignment horizontal="center" vertical="center"/>
    </xf>
    <xf numFmtId="2" fontId="28" fillId="0" borderId="12" xfId="0" applyNumberFormat="1" applyFont="1" applyBorder="1" applyAlignment="1">
      <alignment horizontal="center" vertical="center"/>
    </xf>
    <xf numFmtId="4" fontId="28" fillId="0" borderId="8" xfId="0" applyFont="1" applyBorder="1" applyAlignment="1">
      <alignment horizontal="left" vertical="center"/>
    </xf>
    <xf numFmtId="4" fontId="28" fillId="0" borderId="0" xfId="0" applyFont="1" applyAlignment="1">
      <alignment horizontal="left" vertical="center"/>
    </xf>
    <xf numFmtId="2" fontId="28" fillId="0" borderId="8" xfId="0" applyNumberFormat="1" applyFont="1" applyBorder="1" applyAlignment="1">
      <alignment horizontal="center" vertical="center"/>
    </xf>
    <xf numFmtId="2" fontId="28" fillId="0" borderId="0" xfId="0" applyNumberFormat="1" applyFont="1" applyAlignment="1">
      <alignment horizontal="center" vertical="center"/>
    </xf>
    <xf numFmtId="2" fontId="28" fillId="0" borderId="10" xfId="0" applyNumberFormat="1" applyFont="1" applyBorder="1" applyAlignment="1">
      <alignment horizontal="center" vertical="center"/>
    </xf>
    <xf numFmtId="4" fontId="28" fillId="0" borderId="6" xfId="0" applyFont="1" applyBorder="1" applyAlignment="1">
      <alignment horizontal="left" vertical="center"/>
    </xf>
    <xf numFmtId="4" fontId="28" fillId="0" borderId="1" xfId="0" applyFont="1" applyBorder="1" applyAlignment="1">
      <alignment horizontal="left" vertical="center"/>
    </xf>
    <xf numFmtId="2" fontId="28" fillId="0" borderId="6" xfId="0" applyNumberFormat="1" applyFont="1" applyBorder="1" applyAlignment="1">
      <alignment horizontal="center" vertical="center"/>
    </xf>
    <xf numFmtId="2" fontId="28" fillId="0" borderId="1" xfId="0" applyNumberFormat="1" applyFont="1" applyBorder="1" applyAlignment="1">
      <alignment horizontal="center" vertical="center"/>
    </xf>
    <xf numFmtId="2" fontId="28" fillId="0" borderId="9" xfId="0" applyNumberFormat="1" applyFont="1" applyBorder="1" applyAlignment="1">
      <alignment horizontal="center" vertical="center"/>
    </xf>
    <xf numFmtId="4" fontId="28" fillId="0" borderId="11" xfId="0" applyFont="1" applyBorder="1" applyAlignment="1">
      <alignment horizontal="center" vertical="center" wrapText="1"/>
    </xf>
    <xf numFmtId="4" fontId="28" fillId="0" borderId="3" xfId="0" applyFont="1" applyBorder="1" applyAlignment="1">
      <alignment horizontal="center" vertical="center" wrapText="1"/>
    </xf>
    <xf numFmtId="4" fontId="33" fillId="0" borderId="11" xfId="0" applyFont="1" applyBorder="1" applyAlignment="1">
      <alignment horizontal="center" vertical="center" wrapText="1"/>
    </xf>
    <xf numFmtId="4" fontId="33" fillId="0" borderId="3" xfId="0" applyFont="1" applyBorder="1" applyAlignment="1">
      <alignment horizontal="center" vertical="center" wrapText="1"/>
    </xf>
    <xf numFmtId="4" fontId="33" fillId="0" borderId="12" xfId="0" applyFont="1" applyBorder="1" applyAlignment="1">
      <alignment horizontal="center" vertical="center" wrapText="1"/>
    </xf>
    <xf numFmtId="4" fontId="28" fillId="0" borderId="6" xfId="0" applyFont="1" applyBorder="1" applyAlignment="1">
      <alignment horizontal="center" vertical="center" wrapText="1"/>
    </xf>
    <xf numFmtId="4" fontId="28" fillId="0" borderId="1" xfId="0" applyFont="1" applyBorder="1" applyAlignment="1">
      <alignment horizontal="center" vertical="center" wrapText="1"/>
    </xf>
    <xf numFmtId="4" fontId="33" fillId="0" borderId="6" xfId="0" applyFont="1" applyBorder="1" applyAlignment="1">
      <alignment horizontal="center" vertical="center" wrapText="1"/>
    </xf>
    <xf numFmtId="4" fontId="33" fillId="0" borderId="1" xfId="0" applyFont="1" applyBorder="1" applyAlignment="1">
      <alignment horizontal="center" vertical="center" wrapText="1"/>
    </xf>
    <xf numFmtId="4" fontId="33" fillId="0" borderId="9" xfId="0" applyFont="1" applyBorder="1" applyAlignment="1">
      <alignment horizontal="center" vertical="center" wrapText="1"/>
    </xf>
    <xf numFmtId="4" fontId="33" fillId="0" borderId="7" xfId="0" applyFont="1" applyBorder="1" applyAlignment="1">
      <alignment horizontal="center" vertical="center"/>
    </xf>
    <xf numFmtId="4" fontId="33" fillId="0" borderId="2" xfId="0" applyFont="1" applyBorder="1" applyAlignment="1">
      <alignment horizontal="center" vertical="center"/>
    </xf>
    <xf numFmtId="4" fontId="33" fillId="0" borderId="5" xfId="0" applyFont="1" applyBorder="1" applyAlignment="1">
      <alignment horizontal="center" vertical="center"/>
    </xf>
    <xf numFmtId="2" fontId="28" fillId="0" borderId="0" xfId="21" applyFont="1"/>
    <xf numFmtId="2" fontId="28" fillId="0" borderId="0" xfId="17" applyNumberFormat="1" applyFont="1" applyFill="1" applyAlignment="1">
      <alignment horizontal="center" vertical="center"/>
    </xf>
    <xf numFmtId="4" fontId="53" fillId="0" borderId="4" xfId="0" applyFont="1" applyBorder="1" applyAlignment="1">
      <alignment horizontal="center" vertical="center" wrapText="1"/>
    </xf>
    <xf numFmtId="2" fontId="33" fillId="7" borderId="4" xfId="6" applyFont="1" applyBorder="1">
      <alignment horizontal="center" vertical="center"/>
    </xf>
    <xf numFmtId="164" fontId="33" fillId="7" borderId="4" xfId="6" applyNumberFormat="1" applyFont="1" applyBorder="1">
      <alignment horizontal="center" vertical="center"/>
    </xf>
    <xf numFmtId="2" fontId="33" fillId="0" borderId="0" xfId="6" applyFont="1" applyFill="1" applyAlignment="1">
      <alignment vertical="center"/>
    </xf>
    <xf numFmtId="2" fontId="33" fillId="4" borderId="0" xfId="6" applyFont="1" applyFill="1">
      <alignment horizontal="center" vertical="center"/>
    </xf>
    <xf numFmtId="1" fontId="33" fillId="0" borderId="0" xfId="6" applyNumberFormat="1" applyFont="1" applyFill="1">
      <alignment horizontal="center" vertical="center"/>
    </xf>
    <xf numFmtId="164" fontId="33" fillId="7" borderId="0" xfId="6" applyNumberFormat="1" applyFont="1">
      <alignment horizontal="center" vertical="center"/>
    </xf>
    <xf numFmtId="4" fontId="28" fillId="0" borderId="12" xfId="0" applyFont="1" applyBorder="1" applyAlignment="1">
      <alignment horizontal="center" vertical="center" wrapText="1"/>
    </xf>
    <xf numFmtId="4" fontId="28" fillId="0" borderId="9" xfId="0" applyFont="1" applyBorder="1" applyAlignment="1">
      <alignment horizontal="center" vertical="center" wrapText="1"/>
    </xf>
    <xf numFmtId="3" fontId="28" fillId="0" borderId="4" xfId="0" applyNumberFormat="1" applyFont="1" applyBorder="1" applyAlignment="1">
      <alignment horizontal="center" vertical="center"/>
    </xf>
    <xf numFmtId="3" fontId="28" fillId="0" borderId="7"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28" fillId="0" borderId="5" xfId="0" applyNumberFormat="1" applyFont="1" applyBorder="1" applyAlignment="1">
      <alignment horizontal="center" vertical="center" wrapText="1"/>
    </xf>
    <xf numFmtId="3" fontId="28" fillId="0" borderId="4" xfId="0" applyNumberFormat="1" applyFont="1" applyBorder="1" applyAlignment="1">
      <alignment horizontal="center" vertical="center" wrapText="1"/>
    </xf>
    <xf numFmtId="3" fontId="28" fillId="0" borderId="0" xfId="0" applyNumberFormat="1" applyFont="1">
      <alignment vertical="center"/>
    </xf>
    <xf numFmtId="4" fontId="28" fillId="4" borderId="0" xfId="0" applyFont="1" applyFill="1" applyAlignment="1">
      <alignment horizontal="center" vertical="center"/>
    </xf>
    <xf numFmtId="10" fontId="28" fillId="0" borderId="0" xfId="31" applyNumberFormat="1" applyFont="1" applyFill="1" applyAlignment="1">
      <alignment horizontal="center" vertical="center"/>
    </xf>
    <xf numFmtId="166" fontId="28" fillId="4" borderId="0" xfId="0" applyNumberFormat="1" applyFont="1" applyFill="1" applyAlignment="1">
      <alignment horizontal="center" vertical="center"/>
    </xf>
    <xf numFmtId="3" fontId="28" fillId="4" borderId="0" xfId="0" applyNumberFormat="1" applyFont="1" applyFill="1" applyAlignment="1">
      <alignment horizontal="center" vertical="center"/>
    </xf>
    <xf numFmtId="4" fontId="30" fillId="0" borderId="0" xfId="0" applyFont="1" applyAlignment="1">
      <alignment horizontal="center" vertical="center" wrapText="1"/>
    </xf>
    <xf numFmtId="4" fontId="28" fillId="0" borderId="0" xfId="0" applyFont="1" applyAlignment="1">
      <alignment vertical="top" wrapText="1"/>
    </xf>
    <xf numFmtId="0" fontId="33" fillId="0" borderId="0" xfId="13" applyFont="1" applyAlignment="1">
      <alignment horizontal="right" vertical="center"/>
    </xf>
    <xf numFmtId="4" fontId="28" fillId="0" borderId="0" xfId="0" applyFont="1" applyAlignment="1">
      <alignment horizontal="left" vertical="center" wrapText="1"/>
    </xf>
    <xf numFmtId="4" fontId="28" fillId="0" borderId="0" xfId="0" applyFont="1" applyAlignment="1">
      <alignment horizontal="left" vertical="top" wrapText="1"/>
    </xf>
    <xf numFmtId="4" fontId="28" fillId="0" borderId="0" xfId="0" applyFont="1" applyAlignment="1">
      <alignment horizontal="center" vertical="center" wrapText="1"/>
    </xf>
    <xf numFmtId="4" fontId="28" fillId="0" borderId="0" xfId="0" applyFont="1" applyAlignment="1">
      <alignment horizontal="left" vertical="top"/>
    </xf>
    <xf numFmtId="4" fontId="28" fillId="4" borderId="7" xfId="0" applyFont="1" applyFill="1" applyBorder="1" applyAlignment="1">
      <alignment horizontal="center" vertical="center" wrapText="1"/>
    </xf>
    <xf numFmtId="4" fontId="28" fillId="4" borderId="2" xfId="0" applyFont="1" applyFill="1" applyBorder="1" applyAlignment="1">
      <alignment horizontal="center" vertical="center" wrapText="1"/>
    </xf>
    <xf numFmtId="4" fontId="28" fillId="4" borderId="5" xfId="0" applyFont="1" applyFill="1" applyBorder="1" applyAlignment="1">
      <alignment horizontal="center" vertical="center" wrapText="1"/>
    </xf>
    <xf numFmtId="4" fontId="28" fillId="0" borderId="7" xfId="0" applyFont="1" applyBorder="1" applyAlignment="1">
      <alignment horizontal="center" vertical="center" wrapText="1"/>
    </xf>
    <xf numFmtId="4" fontId="28" fillId="0" borderId="2" xfId="0" applyFont="1" applyBorder="1" applyAlignment="1">
      <alignment horizontal="center" vertical="center" wrapText="1"/>
    </xf>
    <xf numFmtId="4" fontId="28" fillId="0" borderId="5" xfId="0" applyFont="1" applyBorder="1" applyAlignment="1">
      <alignment horizontal="center" vertical="center" wrapText="1"/>
    </xf>
    <xf numFmtId="4" fontId="28" fillId="0" borderId="0" xfId="0" quotePrefix="1" applyFont="1">
      <alignment vertical="center"/>
    </xf>
    <xf numFmtId="3" fontId="28" fillId="0" borderId="0" xfId="0" applyNumberFormat="1" applyFont="1" applyAlignment="1">
      <alignment horizontal="center" vertical="center"/>
    </xf>
    <xf numFmtId="2" fontId="4" fillId="0" borderId="0" xfId="32" applyNumberFormat="1" applyFont="1" applyAlignment="1">
      <alignment horizontal="center"/>
    </xf>
    <xf numFmtId="0" fontId="4" fillId="0" borderId="0" xfId="32" applyFont="1"/>
    <xf numFmtId="0" fontId="4" fillId="0" borderId="0" xfId="32" applyFont="1" applyAlignment="1">
      <alignment horizontal="right"/>
    </xf>
    <xf numFmtId="2" fontId="4" fillId="0" borderId="0" xfId="32" applyNumberFormat="1" applyFont="1" applyAlignment="1">
      <alignment horizontal="center"/>
    </xf>
    <xf numFmtId="166" fontId="28" fillId="0" borderId="0" xfId="0" applyNumberFormat="1" applyFont="1" applyAlignment="1">
      <alignment horizontal="center" vertical="center"/>
    </xf>
    <xf numFmtId="166" fontId="28" fillId="0" borderId="0" xfId="0" applyNumberFormat="1" applyFont="1" applyAlignment="1">
      <alignment horizontal="center" vertical="center"/>
    </xf>
    <xf numFmtId="0" fontId="4" fillId="0" borderId="0" xfId="34" applyFont="1" applyAlignment="1">
      <alignment horizontal="right"/>
    </xf>
    <xf numFmtId="0" fontId="4" fillId="0" borderId="0" xfId="34" applyFont="1" applyAlignment="1">
      <alignment horizontal="center"/>
    </xf>
    <xf numFmtId="164" fontId="28" fillId="0" borderId="0" xfId="0" applyNumberFormat="1" applyFont="1" applyAlignment="1">
      <alignment horizontal="right" vertical="center"/>
    </xf>
    <xf numFmtId="164" fontId="28" fillId="0" borderId="0" xfId="0" applyNumberFormat="1" applyFont="1" applyAlignment="1">
      <alignment horizontal="center" vertical="center"/>
    </xf>
    <xf numFmtId="164" fontId="28" fillId="0" borderId="0" xfId="0" applyNumberFormat="1" applyFont="1" applyAlignment="1">
      <alignment horizontal="left" vertical="top" wrapText="1"/>
    </xf>
    <xf numFmtId="4" fontId="56" fillId="0" borderId="0" xfId="0" applyFont="1">
      <alignment vertical="center"/>
    </xf>
    <xf numFmtId="4" fontId="28" fillId="0" borderId="0" xfId="0" applyFont="1" applyAlignment="1">
      <alignment horizontal="left" vertical="center" wrapText="1"/>
    </xf>
    <xf numFmtId="1" fontId="28" fillId="0" borderId="0" xfId="0" applyNumberFormat="1" applyFont="1" applyAlignment="1">
      <alignment horizontal="center" vertical="center"/>
    </xf>
    <xf numFmtId="2" fontId="28" fillId="0" borderId="0" xfId="21" applyFont="1" applyAlignment="1">
      <alignment wrapText="1"/>
    </xf>
    <xf numFmtId="2" fontId="28" fillId="0" borderId="0" xfId="21" applyFont="1" applyAlignment="1">
      <alignment horizontal="left" wrapText="1"/>
    </xf>
    <xf numFmtId="2" fontId="58" fillId="0" borderId="0" xfId="1" applyFont="1" applyAlignment="1">
      <alignment horizontal="right" vertical="center" wrapText="1"/>
    </xf>
  </cellXfs>
  <cellStyles count="35">
    <cellStyle name="Bad 2" xfId="9" xr:uid="{00000000-0005-0000-0000-000000000000}"/>
    <cellStyle name="Bad 3" xfId="23" xr:uid="{00000000-0005-0000-0000-000001000000}"/>
    <cellStyle name="Calculation" xfId="19" builtinId="22"/>
    <cellStyle name="Calculation 2" xfId="5" xr:uid="{00000000-0005-0000-0000-000003000000}"/>
    <cellStyle name="Calculation 3" xfId="8" xr:uid="{00000000-0005-0000-0000-000004000000}"/>
    <cellStyle name="Calculation 4" xfId="26" xr:uid="{00000000-0005-0000-0000-000005000000}"/>
    <cellStyle name="Check Cell 2" xfId="28" xr:uid="{00000000-0005-0000-0000-000006000000}"/>
    <cellStyle name="Comma" xfId="17" builtinId="3"/>
    <cellStyle name="Comma 2" xfId="33" xr:uid="{00000000-0005-0000-0000-000008000000}"/>
    <cellStyle name="Emphasis" xfId="4" xr:uid="{00000000-0005-0000-0000-000009000000}"/>
    <cellStyle name="Explanatory Text 2" xfId="11" xr:uid="{00000000-0005-0000-0000-00000A000000}"/>
    <cellStyle name="Explanatory Text 3" xfId="29" xr:uid="{00000000-0005-0000-0000-00000B000000}"/>
    <cellStyle name="Good 2" xfId="10" xr:uid="{00000000-0005-0000-0000-00000C000000}"/>
    <cellStyle name="Good 3" xfId="22" xr:uid="{00000000-0005-0000-0000-00000D000000}"/>
    <cellStyle name="Heading 1 2" xfId="1" xr:uid="{00000000-0005-0000-0000-00000E000000}"/>
    <cellStyle name="Heading 1 3" xfId="7" xr:uid="{00000000-0005-0000-0000-00000F000000}"/>
    <cellStyle name="Heading 2 2" xfId="2" xr:uid="{00000000-0005-0000-0000-000010000000}"/>
    <cellStyle name="Hyperlink" xfId="30" builtinId="8" customBuiltin="1"/>
    <cellStyle name="Input" xfId="18" builtinId="20"/>
    <cellStyle name="Input 2" xfId="15" xr:uid="{00000000-0005-0000-0000-000013000000}"/>
    <cellStyle name="Input 3" xfId="25" xr:uid="{00000000-0005-0000-0000-000014000000}"/>
    <cellStyle name="Input2" xfId="6" xr:uid="{00000000-0005-0000-0000-000015000000}"/>
    <cellStyle name="Linked Cell" xfId="20" builtinId="24"/>
    <cellStyle name="Linked Cell 2" xfId="16" xr:uid="{00000000-0005-0000-0000-000017000000}"/>
    <cellStyle name="Linked Cell 3" xfId="27" xr:uid="{00000000-0005-0000-0000-000018000000}"/>
    <cellStyle name="Neutral 2" xfId="14" xr:uid="{00000000-0005-0000-0000-000019000000}"/>
    <cellStyle name="Neutral 3" xfId="24" xr:uid="{00000000-0005-0000-0000-00001A000000}"/>
    <cellStyle name="Normal" xfId="0" builtinId="0" customBuiltin="1"/>
    <cellStyle name="Normal 2" xfId="13" xr:uid="{00000000-0005-0000-0000-00001C000000}"/>
    <cellStyle name="Normal 3" xfId="21" xr:uid="{00000000-0005-0000-0000-00001D000000}"/>
    <cellStyle name="Normal 4" xfId="32" xr:uid="{00000000-0005-0000-0000-00001E000000}"/>
    <cellStyle name="Normal 5" xfId="34" xr:uid="{00000000-0005-0000-0000-00001F000000}"/>
    <cellStyle name="Percent" xfId="31" builtinId="5"/>
    <cellStyle name="RESULT" xfId="12" xr:uid="{00000000-0005-0000-0000-000021000000}"/>
    <cellStyle name="Units" xfId="3" xr:uid="{00000000-0005-0000-0000-000022000000}"/>
  </cellStyles>
  <dxfs count="670">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14996795556505021"/>
        </patternFill>
      </fill>
    </dxf>
    <dxf>
      <font>
        <color theme="1"/>
      </font>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rgb="FF9C0006"/>
      </font>
      <fill>
        <patternFill>
          <bgColor rgb="FFFFC7CE"/>
        </patternFill>
      </fill>
    </dxf>
    <dxf>
      <font>
        <color theme="1"/>
      </font>
      <fill>
        <patternFill>
          <bgColor theme="0" tint="-0.1499679555650502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34998626667073579"/>
        </patternFill>
      </fill>
    </dxf>
    <dxf>
      <font>
        <color theme="1"/>
      </font>
      <fill>
        <patternFill>
          <bgColor theme="0" tint="-0.24994659260841701"/>
        </patternFill>
      </fill>
    </dxf>
    <dxf>
      <font>
        <color auto="1"/>
      </font>
      <fill>
        <patternFill>
          <bgColor theme="0" tint="-0.34998626667073579"/>
        </patternFill>
      </fill>
    </dxf>
    <dxf>
      <font>
        <color auto="1"/>
      </font>
      <fill>
        <patternFill>
          <bgColor theme="0" tint="-0.34998626667073579"/>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14996795556505021"/>
        </patternFill>
      </fill>
    </dxf>
    <dxf>
      <font>
        <color theme="1"/>
      </font>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rgb="FF9C0006"/>
      </font>
      <fill>
        <patternFill>
          <bgColor rgb="FFFFC7CE"/>
        </patternFill>
      </fill>
    </dxf>
    <dxf>
      <font>
        <color theme="1"/>
      </font>
      <fill>
        <patternFill>
          <bgColor theme="0" tint="-0.1499679555650502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34998626667073579"/>
        </patternFill>
      </fill>
    </dxf>
    <dxf>
      <font>
        <color theme="1"/>
      </font>
      <fill>
        <patternFill>
          <bgColor theme="0" tint="-0.24994659260841701"/>
        </patternFill>
      </fill>
    </dxf>
    <dxf>
      <font>
        <color auto="1"/>
      </font>
      <fill>
        <patternFill>
          <bgColor theme="0" tint="-0.34998626667073579"/>
        </patternFill>
      </fill>
    </dxf>
    <dxf>
      <font>
        <color auto="1"/>
      </font>
      <fill>
        <patternFill>
          <bgColor theme="0" tint="-0.34998626667073579"/>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14996795556505021"/>
        </patternFill>
      </fill>
    </dxf>
    <dxf>
      <font>
        <color theme="1"/>
      </font>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1"/>
      </font>
      <fill>
        <patternFill>
          <bgColor theme="0" tint="-0.24994659260841701"/>
        </patternFill>
      </fill>
    </dxf>
    <dxf>
      <font>
        <color theme="1"/>
      </font>
      <fill>
        <patternFill>
          <bgColor theme="0" tint="-0.24994659260841701"/>
        </patternFill>
      </fill>
    </dxf>
    <dxf>
      <font>
        <color rgb="FF9C0006"/>
      </font>
      <fill>
        <patternFill>
          <bgColor rgb="FFFFC7CE"/>
        </patternFill>
      </fill>
    </dxf>
    <dxf>
      <font>
        <color theme="1"/>
      </font>
      <fill>
        <patternFill>
          <bgColor theme="0" tint="-0.1499679555650502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34998626667073579"/>
        </patternFill>
      </fill>
    </dxf>
    <dxf>
      <font>
        <color theme="1"/>
      </font>
      <fill>
        <patternFill>
          <bgColor theme="0" tint="-0.24994659260841701"/>
        </patternFill>
      </fill>
    </dxf>
    <dxf>
      <font>
        <color auto="1"/>
      </font>
      <fill>
        <patternFill>
          <bgColor theme="0" tint="-0.34998626667073579"/>
        </patternFill>
      </fill>
    </dxf>
    <dxf>
      <font>
        <color auto="1"/>
      </font>
      <fill>
        <patternFill>
          <bgColor theme="0" tint="-0.3499862666707357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14996795556505021"/>
        </patternFill>
      </fill>
    </dxf>
    <dxf>
      <font>
        <color theme="1"/>
      </font>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1"/>
      </font>
      <fill>
        <patternFill>
          <bgColor theme="0" tint="-0.24994659260841701"/>
        </patternFill>
      </fill>
    </dxf>
    <dxf>
      <font>
        <color theme="1"/>
      </font>
      <fill>
        <patternFill>
          <bgColor theme="0" tint="-0.24994659260841701"/>
        </patternFill>
      </fill>
    </dxf>
    <dxf>
      <font>
        <color rgb="FF9C0006"/>
      </font>
      <fill>
        <patternFill>
          <bgColor rgb="FFFFC7CE"/>
        </patternFill>
      </fill>
    </dxf>
    <dxf>
      <font>
        <color theme="1"/>
      </font>
      <fill>
        <patternFill>
          <bgColor theme="0" tint="-0.14996795556505021"/>
        </patternFill>
      </fill>
    </dxf>
    <dxf>
      <font>
        <color theme="1"/>
      </font>
      <fill>
        <patternFill>
          <bgColor theme="0" tint="-0.24994659260841701"/>
        </patternFill>
      </fill>
    </dxf>
    <dxf>
      <font>
        <color theme="1"/>
      </font>
      <fill>
        <patternFill>
          <bgColor theme="0" tint="-0.24994659260841701"/>
        </patternFill>
      </fill>
    </dxf>
    <dxf>
      <font>
        <color rgb="FF9C0006"/>
      </font>
      <fill>
        <patternFill>
          <bgColor rgb="FFFFC7CE"/>
        </patternFill>
      </fill>
    </dxf>
    <dxf>
      <font>
        <color rgb="FF006100"/>
      </font>
      <fill>
        <patternFill>
          <bgColor rgb="FFC6EFCE"/>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34998626667073579"/>
        </patternFill>
      </fill>
    </dxf>
    <dxf>
      <font>
        <color theme="1"/>
      </font>
      <fill>
        <patternFill>
          <bgColor theme="0" tint="-0.24994659260841701"/>
        </patternFill>
      </fill>
    </dxf>
    <dxf>
      <font>
        <color auto="1"/>
      </font>
      <fill>
        <patternFill>
          <bgColor theme="0" tint="-0.34998626667073579"/>
        </patternFill>
      </fill>
    </dxf>
    <dxf>
      <font>
        <color auto="1"/>
      </font>
      <fill>
        <patternFill>
          <bgColor theme="0" tint="-0.3499862666707357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14996795556505021"/>
        </patternFill>
      </fill>
    </dxf>
    <dxf>
      <font>
        <color theme="1"/>
      </font>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34998626667073579"/>
        </patternFill>
      </fill>
    </dxf>
    <dxf>
      <font>
        <color theme="1"/>
      </font>
      <fill>
        <patternFill>
          <bgColor theme="0" tint="-0.24994659260841701"/>
        </patternFill>
      </fill>
    </dxf>
    <dxf>
      <font>
        <color auto="1"/>
      </font>
      <fill>
        <patternFill>
          <bgColor theme="0" tint="-0.34998626667073579"/>
        </patternFill>
      </fill>
    </dxf>
    <dxf>
      <font>
        <color auto="1"/>
      </font>
      <fill>
        <patternFill>
          <bgColor theme="0" tint="-0.3499862666707357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14996795556505021"/>
        </patternFill>
      </fill>
    </dxf>
    <dxf>
      <font>
        <color theme="1"/>
      </font>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1"/>
      </font>
      <fill>
        <patternFill>
          <bgColor theme="0" tint="-0.34998626667073579"/>
        </patternFill>
      </fill>
    </dxf>
    <dxf>
      <font>
        <color theme="1"/>
      </font>
      <fill>
        <patternFill>
          <bgColor theme="0" tint="-0.24994659260841701"/>
        </patternFill>
      </fill>
    </dxf>
    <dxf>
      <font>
        <color auto="1"/>
      </font>
      <fill>
        <patternFill>
          <bgColor theme="0" tint="-0.34998626667073579"/>
        </patternFill>
      </fill>
    </dxf>
    <dxf>
      <font>
        <color auto="1"/>
      </font>
      <fill>
        <patternFill>
          <bgColor theme="0" tint="-0.3499862666707357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b/>
        <i val="0"/>
        <color theme="1"/>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1"/>
      </font>
      <fill>
        <patternFill>
          <bgColor theme="0" tint="-0.14996795556505021"/>
        </patternFill>
      </fill>
    </dxf>
    <dxf>
      <font>
        <color theme="1"/>
      </font>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1"/>
      </font>
      <fill>
        <patternFill>
          <bgColor theme="0" tint="-0.34998626667073579"/>
        </patternFill>
      </fill>
    </dxf>
    <dxf>
      <font>
        <color theme="1"/>
      </font>
      <fill>
        <patternFill>
          <bgColor theme="0" tint="-0.24994659260841701"/>
        </patternFill>
      </fill>
    </dxf>
    <dxf>
      <font>
        <color auto="1"/>
      </font>
      <fill>
        <patternFill>
          <bgColor theme="0" tint="-0.34998626667073579"/>
        </patternFill>
      </fill>
    </dxf>
    <dxf>
      <font>
        <color auto="1"/>
      </font>
      <fill>
        <patternFill>
          <bgColor theme="0" tint="-0.3499862666707357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5" tint="-0.499984740745262"/>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theme="5" tint="-0.499984740745262"/>
      </font>
      <fill>
        <patternFill patternType="none">
          <bgColor auto="1"/>
        </patternFill>
      </fill>
    </dxf>
    <dxf>
      <font>
        <b/>
        <i val="0"/>
        <color theme="5" tint="-0.499984740745262"/>
      </font>
      <fill>
        <patternFill patternType="none">
          <bgColor auto="1"/>
        </patternFill>
      </fill>
    </dxf>
    <dxf>
      <font>
        <b/>
        <i val="0"/>
        <color rgb="FF9C0006"/>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1"/>
      </font>
      <fill>
        <patternFill>
          <bgColor theme="0" tint="-0.34998626667073579"/>
        </patternFill>
      </fill>
    </dxf>
    <dxf>
      <font>
        <color theme="1"/>
      </font>
      <fill>
        <patternFill>
          <bgColor theme="0" tint="-0.24994659260841701"/>
        </patternFill>
      </fill>
    </dxf>
    <dxf>
      <font>
        <color auto="1"/>
      </font>
      <fill>
        <patternFill>
          <bgColor theme="0" tint="-0.34998626667073579"/>
        </patternFill>
      </fill>
    </dxf>
    <dxf>
      <font>
        <color auto="1"/>
      </font>
      <fill>
        <patternFill>
          <bgColor theme="0" tint="-0.3499862666707357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5" tint="-0.499984740745262"/>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theme="5" tint="-0.499984740745262"/>
      </font>
      <fill>
        <patternFill patternType="none">
          <bgColor auto="1"/>
        </patternFill>
      </fill>
    </dxf>
    <dxf>
      <font>
        <b/>
        <i val="0"/>
        <color theme="5" tint="-0.499984740745262"/>
      </font>
      <fill>
        <patternFill patternType="none">
          <bgColor auto="1"/>
        </patternFill>
      </fill>
    </dxf>
    <dxf>
      <font>
        <b/>
        <i val="0"/>
        <color rgb="FF9C0006"/>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34998626667073579"/>
        </patternFill>
      </fill>
    </dxf>
    <dxf>
      <font>
        <color auto="1"/>
      </font>
      <fill>
        <patternFill>
          <bgColor theme="0" tint="-0.3499862666707357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5" tint="-0.499984740745262"/>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theme="5" tint="-0.499984740745262"/>
      </font>
      <fill>
        <patternFill patternType="none">
          <bgColor auto="1"/>
        </patternFill>
      </fill>
    </dxf>
    <dxf>
      <font>
        <b/>
        <i val="0"/>
        <color theme="5" tint="-0.499984740745262"/>
      </font>
      <fill>
        <patternFill patternType="none">
          <bgColor auto="1"/>
        </patternFill>
      </fill>
    </dxf>
    <dxf>
      <font>
        <b/>
        <i val="0"/>
        <color rgb="FF9C0006"/>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FF"/>
      <color rgb="FF0058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35</xdr:col>
      <xdr:colOff>26377</xdr:colOff>
      <xdr:row>520</xdr:row>
      <xdr:rowOff>0</xdr:rowOff>
    </xdr:from>
    <xdr:ext cx="65" cy="172227"/>
    <xdr:sp macro="" textlink="">
      <xdr:nvSpPr>
        <xdr:cNvPr id="227" name="TextBox 226">
          <a:extLst>
            <a:ext uri="{FF2B5EF4-FFF2-40B4-BE49-F238E27FC236}">
              <a16:creationId xmlns:a16="http://schemas.microsoft.com/office/drawing/2014/main" id="{00000000-0008-0000-0000-0000E3000000}"/>
            </a:ext>
          </a:extLst>
        </xdr:cNvPr>
        <xdr:cNvSpPr txBox="1"/>
      </xdr:nvSpPr>
      <xdr:spPr>
        <a:xfrm>
          <a:off x="6496050" y="75647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41</xdr:col>
      <xdr:colOff>409575</xdr:colOff>
      <xdr:row>497</xdr:row>
      <xdr:rowOff>0</xdr:rowOff>
    </xdr:from>
    <xdr:ext cx="65" cy="172227"/>
    <xdr:sp macro="" textlink="">
      <xdr:nvSpPr>
        <xdr:cNvPr id="229" name="TextBox 228">
          <a:extLst>
            <a:ext uri="{FF2B5EF4-FFF2-40B4-BE49-F238E27FC236}">
              <a16:creationId xmlns:a16="http://schemas.microsoft.com/office/drawing/2014/main" id="{00000000-0008-0000-0000-0000E5000000}"/>
            </a:ext>
          </a:extLst>
        </xdr:cNvPr>
        <xdr:cNvSpPr txBox="1"/>
      </xdr:nvSpPr>
      <xdr:spPr>
        <a:xfrm>
          <a:off x="8020050" y="60712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74</xdr:col>
      <xdr:colOff>409575</xdr:colOff>
      <xdr:row>161</xdr:row>
      <xdr:rowOff>0</xdr:rowOff>
    </xdr:from>
    <xdr:ext cx="65" cy="172227"/>
    <xdr:sp macro="" textlink="">
      <xdr:nvSpPr>
        <xdr:cNvPr id="608" name="TextBox 607">
          <a:extLst>
            <a:ext uri="{FF2B5EF4-FFF2-40B4-BE49-F238E27FC236}">
              <a16:creationId xmlns:a16="http://schemas.microsoft.com/office/drawing/2014/main" id="{8092B941-F1A1-476B-B2A5-FD39F8A653F5}"/>
            </a:ext>
          </a:extLst>
        </xdr:cNvPr>
        <xdr:cNvSpPr txBox="1"/>
      </xdr:nvSpPr>
      <xdr:spPr>
        <a:xfrm>
          <a:off x="7829550" y="71066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15</xdr:col>
      <xdr:colOff>533400</xdr:colOff>
      <xdr:row>162</xdr:row>
      <xdr:rowOff>0</xdr:rowOff>
    </xdr:from>
    <xdr:ext cx="28575" cy="209550"/>
    <xdr:sp macro="" textlink="">
      <xdr:nvSpPr>
        <xdr:cNvPr id="418" name="Text Box 35">
          <a:extLst>
            <a:ext uri="{FF2B5EF4-FFF2-40B4-BE49-F238E27FC236}">
              <a16:creationId xmlns:a16="http://schemas.microsoft.com/office/drawing/2014/main" id="{3EFDEE14-4CB1-468D-BD05-A917F93A391F}"/>
            </a:ext>
          </a:extLst>
        </xdr:cNvPr>
        <xdr:cNvSpPr txBox="1">
          <a:spLocks noChangeArrowheads="1"/>
        </xdr:cNvSpPr>
      </xdr:nvSpPr>
      <xdr:spPr bwMode="auto">
        <a:xfrm>
          <a:off x="4457700" y="17202150"/>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15</xdr:col>
      <xdr:colOff>533400</xdr:colOff>
      <xdr:row>162</xdr:row>
      <xdr:rowOff>0</xdr:rowOff>
    </xdr:from>
    <xdr:ext cx="28575" cy="209550"/>
    <xdr:sp macro="" textlink="">
      <xdr:nvSpPr>
        <xdr:cNvPr id="419" name="Text Box 35">
          <a:extLst>
            <a:ext uri="{FF2B5EF4-FFF2-40B4-BE49-F238E27FC236}">
              <a16:creationId xmlns:a16="http://schemas.microsoft.com/office/drawing/2014/main" id="{D6A1DDC6-C1C5-4714-90BF-B715D851450D}"/>
            </a:ext>
          </a:extLst>
        </xdr:cNvPr>
        <xdr:cNvSpPr txBox="1">
          <a:spLocks noChangeArrowheads="1"/>
        </xdr:cNvSpPr>
      </xdr:nvSpPr>
      <xdr:spPr bwMode="auto">
        <a:xfrm>
          <a:off x="4457700" y="17202150"/>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15</xdr:col>
      <xdr:colOff>533400</xdr:colOff>
      <xdr:row>162</xdr:row>
      <xdr:rowOff>0</xdr:rowOff>
    </xdr:from>
    <xdr:ext cx="28575" cy="209550"/>
    <xdr:sp macro="" textlink="">
      <xdr:nvSpPr>
        <xdr:cNvPr id="420" name="Text Box 35">
          <a:extLst>
            <a:ext uri="{FF2B5EF4-FFF2-40B4-BE49-F238E27FC236}">
              <a16:creationId xmlns:a16="http://schemas.microsoft.com/office/drawing/2014/main" id="{F3401AFD-8D06-47AD-B301-BDF97CF33B6A}"/>
            </a:ext>
          </a:extLst>
        </xdr:cNvPr>
        <xdr:cNvSpPr txBox="1">
          <a:spLocks noChangeArrowheads="1"/>
        </xdr:cNvSpPr>
      </xdr:nvSpPr>
      <xdr:spPr bwMode="auto">
        <a:xfrm>
          <a:off x="4457700" y="17202150"/>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15</xdr:col>
      <xdr:colOff>533400</xdr:colOff>
      <xdr:row>162</xdr:row>
      <xdr:rowOff>0</xdr:rowOff>
    </xdr:from>
    <xdr:ext cx="28575" cy="209550"/>
    <xdr:sp macro="" textlink="">
      <xdr:nvSpPr>
        <xdr:cNvPr id="421" name="Text Box 35">
          <a:extLst>
            <a:ext uri="{FF2B5EF4-FFF2-40B4-BE49-F238E27FC236}">
              <a16:creationId xmlns:a16="http://schemas.microsoft.com/office/drawing/2014/main" id="{171C7243-5A3B-4A63-8262-F57B2164DABB}"/>
            </a:ext>
          </a:extLst>
        </xdr:cNvPr>
        <xdr:cNvSpPr txBox="1">
          <a:spLocks noChangeArrowheads="1"/>
        </xdr:cNvSpPr>
      </xdr:nvSpPr>
      <xdr:spPr bwMode="auto">
        <a:xfrm>
          <a:off x="4457700" y="17202150"/>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15</xdr:col>
      <xdr:colOff>533400</xdr:colOff>
      <xdr:row>162</xdr:row>
      <xdr:rowOff>0</xdr:rowOff>
    </xdr:from>
    <xdr:ext cx="28575" cy="209550"/>
    <xdr:sp macro="" textlink="">
      <xdr:nvSpPr>
        <xdr:cNvPr id="422" name="Text Box 35">
          <a:extLst>
            <a:ext uri="{FF2B5EF4-FFF2-40B4-BE49-F238E27FC236}">
              <a16:creationId xmlns:a16="http://schemas.microsoft.com/office/drawing/2014/main" id="{7B2D58BC-3FE9-4968-8C7E-5D1275EA17C5}"/>
            </a:ext>
          </a:extLst>
        </xdr:cNvPr>
        <xdr:cNvSpPr txBox="1">
          <a:spLocks noChangeArrowheads="1"/>
        </xdr:cNvSpPr>
      </xdr:nvSpPr>
      <xdr:spPr bwMode="auto">
        <a:xfrm>
          <a:off x="4457700" y="17202150"/>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15</xdr:col>
      <xdr:colOff>533400</xdr:colOff>
      <xdr:row>162</xdr:row>
      <xdr:rowOff>0</xdr:rowOff>
    </xdr:from>
    <xdr:ext cx="28575" cy="209550"/>
    <xdr:sp macro="" textlink="">
      <xdr:nvSpPr>
        <xdr:cNvPr id="423" name="Text Box 35">
          <a:extLst>
            <a:ext uri="{FF2B5EF4-FFF2-40B4-BE49-F238E27FC236}">
              <a16:creationId xmlns:a16="http://schemas.microsoft.com/office/drawing/2014/main" id="{9B1A947B-BBFC-47FD-972C-A9A61D3B2343}"/>
            </a:ext>
          </a:extLst>
        </xdr:cNvPr>
        <xdr:cNvSpPr txBox="1">
          <a:spLocks noChangeArrowheads="1"/>
        </xdr:cNvSpPr>
      </xdr:nvSpPr>
      <xdr:spPr bwMode="auto">
        <a:xfrm>
          <a:off x="4457700" y="17202150"/>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twoCellAnchor editAs="oneCell">
    <xdr:from>
      <xdr:col>9</xdr:col>
      <xdr:colOff>361782</xdr:colOff>
      <xdr:row>162</xdr:row>
      <xdr:rowOff>0</xdr:rowOff>
    </xdr:from>
    <xdr:to>
      <xdr:col>15</xdr:col>
      <xdr:colOff>97446</xdr:colOff>
      <xdr:row>163</xdr:row>
      <xdr:rowOff>179500</xdr:rowOff>
    </xdr:to>
    <xdr:sp macro="" textlink="">
      <xdr:nvSpPr>
        <xdr:cNvPr id="434" name="Object 4" hidden="1">
          <a:extLst>
            <a:ext uri="{63B3BB69-23CF-44E3-9099-C40C66FF867C}">
              <a14:compatExt xmlns:a14="http://schemas.microsoft.com/office/drawing/2010/main" spid="_x0000_s2052"/>
            </a:ext>
            <a:ext uri="{FF2B5EF4-FFF2-40B4-BE49-F238E27FC236}">
              <a16:creationId xmlns:a16="http://schemas.microsoft.com/office/drawing/2014/main" id="{37A14595-0275-47F1-9E6C-5234238D8E72}"/>
            </a:ext>
          </a:extLst>
        </xdr:cNvPr>
        <xdr:cNvSpPr/>
      </xdr:nvSpPr>
      <xdr:spPr bwMode="auto">
        <a:xfrm>
          <a:off x="2476332" y="13855345"/>
          <a:ext cx="1002489" cy="3807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56</xdr:col>
      <xdr:colOff>533400</xdr:colOff>
      <xdr:row>161</xdr:row>
      <xdr:rowOff>0</xdr:rowOff>
    </xdr:from>
    <xdr:ext cx="28575" cy="209550"/>
    <xdr:sp macro="" textlink="">
      <xdr:nvSpPr>
        <xdr:cNvPr id="648" name="Text Box 35">
          <a:extLst>
            <a:ext uri="{FF2B5EF4-FFF2-40B4-BE49-F238E27FC236}">
              <a16:creationId xmlns:a16="http://schemas.microsoft.com/office/drawing/2014/main" id="{B9F049DD-330F-49DC-9418-57A0B36DD743}"/>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56</xdr:col>
      <xdr:colOff>533400</xdr:colOff>
      <xdr:row>161</xdr:row>
      <xdr:rowOff>0</xdr:rowOff>
    </xdr:from>
    <xdr:ext cx="28575" cy="209550"/>
    <xdr:sp macro="" textlink="">
      <xdr:nvSpPr>
        <xdr:cNvPr id="649" name="Text Box 35">
          <a:extLst>
            <a:ext uri="{FF2B5EF4-FFF2-40B4-BE49-F238E27FC236}">
              <a16:creationId xmlns:a16="http://schemas.microsoft.com/office/drawing/2014/main" id="{919DFD26-255B-4ED1-A444-F14187CCDED4}"/>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56</xdr:col>
      <xdr:colOff>533400</xdr:colOff>
      <xdr:row>161</xdr:row>
      <xdr:rowOff>0</xdr:rowOff>
    </xdr:from>
    <xdr:ext cx="28575" cy="209550"/>
    <xdr:sp macro="" textlink="">
      <xdr:nvSpPr>
        <xdr:cNvPr id="650" name="Text Box 35">
          <a:extLst>
            <a:ext uri="{FF2B5EF4-FFF2-40B4-BE49-F238E27FC236}">
              <a16:creationId xmlns:a16="http://schemas.microsoft.com/office/drawing/2014/main" id="{CC32AFA4-7C2D-44C1-8F38-9F3DFA9BBC4F}"/>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56</xdr:col>
      <xdr:colOff>533400</xdr:colOff>
      <xdr:row>161</xdr:row>
      <xdr:rowOff>0</xdr:rowOff>
    </xdr:from>
    <xdr:ext cx="28575" cy="209550"/>
    <xdr:sp macro="" textlink="">
      <xdr:nvSpPr>
        <xdr:cNvPr id="651" name="Text Box 35">
          <a:extLst>
            <a:ext uri="{FF2B5EF4-FFF2-40B4-BE49-F238E27FC236}">
              <a16:creationId xmlns:a16="http://schemas.microsoft.com/office/drawing/2014/main" id="{698BDDC2-8C74-4010-BFB4-3A62733622DF}"/>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56</xdr:col>
      <xdr:colOff>533400</xdr:colOff>
      <xdr:row>161</xdr:row>
      <xdr:rowOff>0</xdr:rowOff>
    </xdr:from>
    <xdr:ext cx="28575" cy="209550"/>
    <xdr:sp macro="" textlink="">
      <xdr:nvSpPr>
        <xdr:cNvPr id="652" name="Text Box 35">
          <a:extLst>
            <a:ext uri="{FF2B5EF4-FFF2-40B4-BE49-F238E27FC236}">
              <a16:creationId xmlns:a16="http://schemas.microsoft.com/office/drawing/2014/main" id="{E5996ECF-7470-4EE8-B69C-728BBC0305F4}"/>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46</xdr:col>
      <xdr:colOff>361782</xdr:colOff>
      <xdr:row>161</xdr:row>
      <xdr:rowOff>0</xdr:rowOff>
    </xdr:from>
    <xdr:ext cx="1009943" cy="378282"/>
    <xdr:sp macro="" textlink="">
      <xdr:nvSpPr>
        <xdr:cNvPr id="654" name="Object 4" hidden="1">
          <a:extLst>
            <a:ext uri="{63B3BB69-23CF-44E3-9099-C40C66FF867C}">
              <a14:compatExt xmlns:a14="http://schemas.microsoft.com/office/drawing/2010/main" spid="_x0000_s2052"/>
            </a:ext>
            <a:ext uri="{FF2B5EF4-FFF2-40B4-BE49-F238E27FC236}">
              <a16:creationId xmlns:a16="http://schemas.microsoft.com/office/drawing/2014/main" id="{5394D07F-E9AE-406D-B5A9-981CDF9CCE94}"/>
            </a:ext>
          </a:extLst>
        </xdr:cNvPr>
        <xdr:cNvSpPr/>
      </xdr:nvSpPr>
      <xdr:spPr bwMode="auto">
        <a:xfrm>
          <a:off x="1820764" y="75015587"/>
          <a:ext cx="1009943" cy="37828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111</xdr:col>
      <xdr:colOff>26377</xdr:colOff>
      <xdr:row>165</xdr:row>
      <xdr:rowOff>0</xdr:rowOff>
    </xdr:from>
    <xdr:ext cx="65" cy="172227"/>
    <xdr:sp macro="" textlink="">
      <xdr:nvSpPr>
        <xdr:cNvPr id="616" name="TextBox 615">
          <a:extLst>
            <a:ext uri="{FF2B5EF4-FFF2-40B4-BE49-F238E27FC236}">
              <a16:creationId xmlns:a16="http://schemas.microsoft.com/office/drawing/2014/main" id="{E5D13FFE-EF89-4D6B-AFB4-F681AB3FD069}"/>
            </a:ext>
          </a:extLst>
        </xdr:cNvPr>
        <xdr:cNvSpPr txBox="1"/>
      </xdr:nvSpPr>
      <xdr:spPr>
        <a:xfrm>
          <a:off x="13137747" y="10488267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85</xdr:col>
      <xdr:colOff>361782</xdr:colOff>
      <xdr:row>165</xdr:row>
      <xdr:rowOff>0</xdr:rowOff>
    </xdr:from>
    <xdr:ext cx="1009943" cy="378282"/>
    <xdr:sp macro="" textlink="">
      <xdr:nvSpPr>
        <xdr:cNvPr id="622" name="Object 4" hidden="1">
          <a:extLst>
            <a:ext uri="{63B3BB69-23CF-44E3-9099-C40C66FF867C}">
              <a14:compatExt xmlns:a14="http://schemas.microsoft.com/office/drawing/2010/main" spid="_x0000_s2052"/>
            </a:ext>
            <a:ext uri="{FF2B5EF4-FFF2-40B4-BE49-F238E27FC236}">
              <a16:creationId xmlns:a16="http://schemas.microsoft.com/office/drawing/2014/main" id="{0E869359-293F-40D0-8594-4343335B972E}"/>
            </a:ext>
          </a:extLst>
        </xdr:cNvPr>
        <xdr:cNvSpPr/>
      </xdr:nvSpPr>
      <xdr:spPr bwMode="auto">
        <a:xfrm>
          <a:off x="8546242" y="96335022"/>
          <a:ext cx="1009943" cy="37828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8</xdr:col>
      <xdr:colOff>163286</xdr:colOff>
      <xdr:row>46</xdr:row>
      <xdr:rowOff>83820</xdr:rowOff>
    </xdr:from>
    <xdr:to>
      <xdr:col>16</xdr:col>
      <xdr:colOff>155329</xdr:colOff>
      <xdr:row>64</xdr:row>
      <xdr:rowOff>136071</xdr:rowOff>
    </xdr:to>
    <xdr:grpSp>
      <xdr:nvGrpSpPr>
        <xdr:cNvPr id="81" name="Group 80">
          <a:extLst>
            <a:ext uri="{FF2B5EF4-FFF2-40B4-BE49-F238E27FC236}">
              <a16:creationId xmlns:a16="http://schemas.microsoft.com/office/drawing/2014/main" id="{8A194841-8023-4E28-8211-46E8F508E9EF}"/>
            </a:ext>
          </a:extLst>
        </xdr:cNvPr>
        <xdr:cNvGrpSpPr/>
      </xdr:nvGrpSpPr>
      <xdr:grpSpPr>
        <a:xfrm>
          <a:off x="1687286" y="9424670"/>
          <a:ext cx="1516043" cy="3709851"/>
          <a:chOff x="7976717" y="8055512"/>
          <a:chExt cx="1445704" cy="3637950"/>
        </a:xfrm>
      </xdr:grpSpPr>
      <xdr:sp macro="" textlink="">
        <xdr:nvSpPr>
          <xdr:cNvPr id="27" name="Trapezoid 26">
            <a:extLst>
              <a:ext uri="{FF2B5EF4-FFF2-40B4-BE49-F238E27FC236}">
                <a16:creationId xmlns:a16="http://schemas.microsoft.com/office/drawing/2014/main" id="{C2959110-20DE-4297-A3E3-5EFFCA8C2DB8}"/>
              </a:ext>
            </a:extLst>
          </xdr:cNvPr>
          <xdr:cNvSpPr/>
        </xdr:nvSpPr>
        <xdr:spPr>
          <a:xfrm>
            <a:off x="8048478" y="8055512"/>
            <a:ext cx="143608" cy="2460088"/>
          </a:xfrm>
          <a:prstGeom prst="trapezoid">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9" name="Trapezoid 28">
            <a:extLst>
              <a:ext uri="{FF2B5EF4-FFF2-40B4-BE49-F238E27FC236}">
                <a16:creationId xmlns:a16="http://schemas.microsoft.com/office/drawing/2014/main" id="{A0BC4CDA-82BD-4BC3-85D0-A2BD974B5F68}"/>
              </a:ext>
            </a:extLst>
          </xdr:cNvPr>
          <xdr:cNvSpPr/>
        </xdr:nvSpPr>
        <xdr:spPr>
          <a:xfrm rot="5400000">
            <a:off x="8728954" y="7722373"/>
            <a:ext cx="126746" cy="1260189"/>
          </a:xfrm>
          <a:prstGeom prst="trapezoid">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a:extLst>
              <a:ext uri="{FF2B5EF4-FFF2-40B4-BE49-F238E27FC236}">
                <a16:creationId xmlns:a16="http://schemas.microsoft.com/office/drawing/2014/main" id="{5B83DB52-54AE-438A-88FF-4FE418B71F64}"/>
              </a:ext>
            </a:extLst>
          </xdr:cNvPr>
          <xdr:cNvSpPr/>
        </xdr:nvSpPr>
        <xdr:spPr>
          <a:xfrm>
            <a:off x="7976717" y="10515600"/>
            <a:ext cx="303543" cy="117786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6" name="Rectangle 365">
            <a:extLst>
              <a:ext uri="{FF2B5EF4-FFF2-40B4-BE49-F238E27FC236}">
                <a16:creationId xmlns:a16="http://schemas.microsoft.com/office/drawing/2014/main" id="{81294B6F-70DE-4F2F-A828-6E0725AE7C72}"/>
              </a:ext>
            </a:extLst>
          </xdr:cNvPr>
          <xdr:cNvSpPr/>
        </xdr:nvSpPr>
        <xdr:spPr>
          <a:xfrm>
            <a:off x="7976717" y="10515113"/>
            <a:ext cx="303543" cy="117773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Rectangle: Rounded Corners 31">
            <a:extLst>
              <a:ext uri="{FF2B5EF4-FFF2-40B4-BE49-F238E27FC236}">
                <a16:creationId xmlns:a16="http://schemas.microsoft.com/office/drawing/2014/main" id="{CC33EC0B-AB8E-4E9E-B0C9-1DB9F178DD40}"/>
              </a:ext>
            </a:extLst>
          </xdr:cNvPr>
          <xdr:cNvSpPr/>
        </xdr:nvSpPr>
        <xdr:spPr>
          <a:xfrm>
            <a:off x="8698104" y="8110319"/>
            <a:ext cx="645188" cy="501998"/>
          </a:xfrm>
          <a:prstGeom prst="roundRect">
            <a:avLst/>
          </a:prstGeom>
          <a:solidFill>
            <a:schemeClr val="bg1">
              <a:lumMod val="75000"/>
            </a:schemeClr>
          </a:solidFill>
          <a:ln>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n-US" sz="1100"/>
              <a:t>Sign</a:t>
            </a:r>
            <a:r>
              <a:rPr lang="en-US" sz="1100" baseline="0"/>
              <a:t> Panel</a:t>
            </a:r>
            <a:endParaRPr lang="en-US" sz="1100"/>
          </a:p>
        </xdr:txBody>
      </xdr:sp>
    </xdr:grpSp>
    <xdr:clientData/>
  </xdr:twoCellAnchor>
  <xdr:twoCellAnchor>
    <xdr:from>
      <xdr:col>3</xdr:col>
      <xdr:colOff>69850</xdr:colOff>
      <xdr:row>47</xdr:row>
      <xdr:rowOff>185444</xdr:rowOff>
    </xdr:from>
    <xdr:to>
      <xdr:col>9</xdr:col>
      <xdr:colOff>15647</xdr:colOff>
      <xdr:row>47</xdr:row>
      <xdr:rowOff>185444</xdr:rowOff>
    </xdr:to>
    <xdr:cxnSp macro="">
      <xdr:nvCxnSpPr>
        <xdr:cNvPr id="408" name="Straight Connector 407">
          <a:extLst>
            <a:ext uri="{FF2B5EF4-FFF2-40B4-BE49-F238E27FC236}">
              <a16:creationId xmlns:a16="http://schemas.microsoft.com/office/drawing/2014/main" id="{682D88B3-0673-4B20-B6D1-5C46EABDD507}"/>
            </a:ext>
          </a:extLst>
        </xdr:cNvPr>
        <xdr:cNvCxnSpPr/>
      </xdr:nvCxnSpPr>
      <xdr:spPr>
        <a:xfrm flipH="1">
          <a:off x="7061200" y="8256294"/>
          <a:ext cx="10506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146050</xdr:colOff>
      <xdr:row>58</xdr:row>
      <xdr:rowOff>152570</xdr:rowOff>
    </xdr:from>
    <xdr:to>
      <xdr:col>8</xdr:col>
      <xdr:colOff>81974</xdr:colOff>
      <xdr:row>58</xdr:row>
      <xdr:rowOff>152570</xdr:rowOff>
    </xdr:to>
    <xdr:cxnSp macro="">
      <xdr:nvCxnSpPr>
        <xdr:cNvPr id="413" name="Straight Connector 412">
          <a:extLst>
            <a:ext uri="{FF2B5EF4-FFF2-40B4-BE49-F238E27FC236}">
              <a16:creationId xmlns:a16="http://schemas.microsoft.com/office/drawing/2014/main" id="{C058D829-93A9-4606-AFBD-887891A1197F}"/>
            </a:ext>
          </a:extLst>
        </xdr:cNvPr>
        <xdr:cNvCxnSpPr/>
      </xdr:nvCxnSpPr>
      <xdr:spPr>
        <a:xfrm flipH="1">
          <a:off x="6769100" y="10388770"/>
          <a:ext cx="12249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121232</xdr:colOff>
      <xdr:row>43</xdr:row>
      <xdr:rowOff>119743</xdr:rowOff>
    </xdr:from>
    <xdr:to>
      <xdr:col>16</xdr:col>
      <xdr:colOff>155328</xdr:colOff>
      <xdr:row>65</xdr:row>
      <xdr:rowOff>0</xdr:rowOff>
    </xdr:to>
    <xdr:grpSp>
      <xdr:nvGrpSpPr>
        <xdr:cNvPr id="78" name="Group 77">
          <a:extLst>
            <a:ext uri="{FF2B5EF4-FFF2-40B4-BE49-F238E27FC236}">
              <a16:creationId xmlns:a16="http://schemas.microsoft.com/office/drawing/2014/main" id="{33176721-737B-4C05-BC39-708F564793E4}"/>
            </a:ext>
          </a:extLst>
        </xdr:cNvPr>
        <xdr:cNvGrpSpPr/>
      </xdr:nvGrpSpPr>
      <xdr:grpSpPr>
        <a:xfrm>
          <a:off x="1835732" y="8850993"/>
          <a:ext cx="1367596" cy="4350657"/>
          <a:chOff x="8128488" y="7493558"/>
          <a:chExt cx="1293270" cy="4643595"/>
        </a:xfrm>
      </xdr:grpSpPr>
      <xdr:cxnSp macro="">
        <xdr:nvCxnSpPr>
          <xdr:cNvPr id="41" name="Straight Connector 40">
            <a:extLst>
              <a:ext uri="{FF2B5EF4-FFF2-40B4-BE49-F238E27FC236}">
                <a16:creationId xmlns:a16="http://schemas.microsoft.com/office/drawing/2014/main" id="{6E3E9BC0-9CF8-4D2E-90CF-A65C746C03D1}"/>
              </a:ext>
            </a:extLst>
          </xdr:cNvPr>
          <xdr:cNvCxnSpPr/>
        </xdr:nvCxnSpPr>
        <xdr:spPr>
          <a:xfrm>
            <a:off x="8131762" y="7493558"/>
            <a:ext cx="0" cy="4643595"/>
          </a:xfrm>
          <a:prstGeom prst="line">
            <a:avLst/>
          </a:prstGeom>
          <a:ln w="6350"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55" name="Straight Connector 54">
            <a:extLst>
              <a:ext uri="{FF2B5EF4-FFF2-40B4-BE49-F238E27FC236}">
                <a16:creationId xmlns:a16="http://schemas.microsoft.com/office/drawing/2014/main" id="{D0B291F5-54AE-4916-8BA5-F95D38857DCB}"/>
              </a:ext>
            </a:extLst>
          </xdr:cNvPr>
          <xdr:cNvCxnSpPr/>
        </xdr:nvCxnSpPr>
        <xdr:spPr>
          <a:xfrm flipV="1">
            <a:off x="9421757" y="7564316"/>
            <a:ext cx="1" cy="78094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4" name="Straight Arrow Connector 63">
            <a:extLst>
              <a:ext uri="{FF2B5EF4-FFF2-40B4-BE49-F238E27FC236}">
                <a16:creationId xmlns:a16="http://schemas.microsoft.com/office/drawing/2014/main" id="{CB7AD58E-944C-4A2D-97E6-C6136D46609F}"/>
              </a:ext>
            </a:extLst>
          </xdr:cNvPr>
          <xdr:cNvCxnSpPr/>
        </xdr:nvCxnSpPr>
        <xdr:spPr>
          <a:xfrm flipH="1">
            <a:off x="8128488" y="7635030"/>
            <a:ext cx="1293269" cy="0"/>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128588</xdr:colOff>
      <xdr:row>45</xdr:row>
      <xdr:rowOff>136075</xdr:rowOff>
    </xdr:from>
    <xdr:to>
      <xdr:col>14</xdr:col>
      <xdr:colOff>114300</xdr:colOff>
      <xdr:row>49</xdr:row>
      <xdr:rowOff>119745</xdr:rowOff>
    </xdr:to>
    <xdr:grpSp>
      <xdr:nvGrpSpPr>
        <xdr:cNvPr id="79" name="Group 78">
          <a:extLst>
            <a:ext uri="{FF2B5EF4-FFF2-40B4-BE49-F238E27FC236}">
              <a16:creationId xmlns:a16="http://schemas.microsoft.com/office/drawing/2014/main" id="{504B6044-A1E9-4F05-990C-4B4A61F977C8}"/>
            </a:ext>
          </a:extLst>
        </xdr:cNvPr>
        <xdr:cNvGrpSpPr/>
      </xdr:nvGrpSpPr>
      <xdr:grpSpPr>
        <a:xfrm>
          <a:off x="1843088" y="9273725"/>
          <a:ext cx="938212" cy="796470"/>
          <a:chOff x="8123726" y="7908473"/>
          <a:chExt cx="894251" cy="780070"/>
        </a:xfrm>
      </xdr:grpSpPr>
      <xdr:cxnSp macro="">
        <xdr:nvCxnSpPr>
          <xdr:cNvPr id="53" name="Straight Connector 52">
            <a:extLst>
              <a:ext uri="{FF2B5EF4-FFF2-40B4-BE49-F238E27FC236}">
                <a16:creationId xmlns:a16="http://schemas.microsoft.com/office/drawing/2014/main" id="{5A8E1650-87FD-484C-A896-30D0F76A9B57}"/>
              </a:ext>
            </a:extLst>
          </xdr:cNvPr>
          <xdr:cNvCxnSpPr/>
        </xdr:nvCxnSpPr>
        <xdr:spPr>
          <a:xfrm>
            <a:off x="9017977" y="7908473"/>
            <a:ext cx="0" cy="780070"/>
          </a:xfrm>
          <a:prstGeom prst="line">
            <a:avLst/>
          </a:prstGeom>
          <a:ln w="6350"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522" name="Straight Arrow Connector 521">
            <a:extLst>
              <a:ext uri="{FF2B5EF4-FFF2-40B4-BE49-F238E27FC236}">
                <a16:creationId xmlns:a16="http://schemas.microsoft.com/office/drawing/2014/main" id="{C175F344-084F-4C0F-B48D-C2528DEB9860}"/>
              </a:ext>
            </a:extLst>
          </xdr:cNvPr>
          <xdr:cNvCxnSpPr/>
        </xdr:nvCxnSpPr>
        <xdr:spPr>
          <a:xfrm flipH="1">
            <a:off x="8123726" y="7971701"/>
            <a:ext cx="894251" cy="0"/>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16</xdr:col>
      <xdr:colOff>42120</xdr:colOff>
      <xdr:row>46</xdr:row>
      <xdr:rowOff>135350</xdr:rowOff>
    </xdr:from>
    <xdr:to>
      <xdr:col>18</xdr:col>
      <xdr:colOff>40446</xdr:colOff>
      <xdr:row>49</xdr:row>
      <xdr:rowOff>39968</xdr:rowOff>
    </xdr:to>
    <xdr:grpSp>
      <xdr:nvGrpSpPr>
        <xdr:cNvPr id="74" name="Group 73">
          <a:extLst>
            <a:ext uri="{FF2B5EF4-FFF2-40B4-BE49-F238E27FC236}">
              <a16:creationId xmlns:a16="http://schemas.microsoft.com/office/drawing/2014/main" id="{CB31CD3D-2200-42D2-9472-C5526AD7D3C3}"/>
            </a:ext>
          </a:extLst>
        </xdr:cNvPr>
        <xdr:cNvGrpSpPr/>
      </xdr:nvGrpSpPr>
      <xdr:grpSpPr>
        <a:xfrm>
          <a:off x="3090120" y="9476200"/>
          <a:ext cx="379326" cy="514218"/>
          <a:chOff x="9390183" y="8188568"/>
          <a:chExt cx="486507" cy="504093"/>
        </a:xfrm>
      </xdr:grpSpPr>
      <xdr:cxnSp macro="">
        <xdr:nvCxnSpPr>
          <xdr:cNvPr id="68" name="Straight Connector 67">
            <a:extLst>
              <a:ext uri="{FF2B5EF4-FFF2-40B4-BE49-F238E27FC236}">
                <a16:creationId xmlns:a16="http://schemas.microsoft.com/office/drawing/2014/main" id="{19FDE80B-E010-47A3-B856-9158FE84E474}"/>
              </a:ext>
            </a:extLst>
          </xdr:cNvPr>
          <xdr:cNvCxnSpPr/>
        </xdr:nvCxnSpPr>
        <xdr:spPr>
          <a:xfrm>
            <a:off x="9390183" y="8188569"/>
            <a:ext cx="474784" cy="0"/>
          </a:xfrm>
          <a:prstGeom prst="line">
            <a:avLst/>
          </a:prstGeom>
          <a:ln>
            <a:headEnd w="sm" len="lg"/>
            <a:tailEnd w="sm" len="lg"/>
          </a:ln>
        </xdr:spPr>
        <xdr:style>
          <a:lnRef idx="1">
            <a:schemeClr val="dk1"/>
          </a:lnRef>
          <a:fillRef idx="0">
            <a:schemeClr val="dk1"/>
          </a:fillRef>
          <a:effectRef idx="0">
            <a:schemeClr val="dk1"/>
          </a:effectRef>
          <a:fontRef idx="minor">
            <a:schemeClr val="tx1"/>
          </a:fontRef>
        </xdr:style>
      </xdr:cxnSp>
      <xdr:cxnSp macro="">
        <xdr:nvCxnSpPr>
          <xdr:cNvPr id="523" name="Straight Connector 522">
            <a:extLst>
              <a:ext uri="{FF2B5EF4-FFF2-40B4-BE49-F238E27FC236}">
                <a16:creationId xmlns:a16="http://schemas.microsoft.com/office/drawing/2014/main" id="{B0992828-706C-4907-B03C-97C3F19E8DDA}"/>
              </a:ext>
            </a:extLst>
          </xdr:cNvPr>
          <xdr:cNvCxnSpPr/>
        </xdr:nvCxnSpPr>
        <xdr:spPr>
          <a:xfrm>
            <a:off x="9401906" y="8686801"/>
            <a:ext cx="474784" cy="0"/>
          </a:xfrm>
          <a:prstGeom prst="line">
            <a:avLst/>
          </a:prstGeom>
          <a:ln>
            <a:headEnd w="sm" len="lg"/>
            <a:tailEnd w="sm" len="lg"/>
          </a:ln>
        </xdr:spPr>
        <xdr:style>
          <a:lnRef idx="1">
            <a:schemeClr val="dk1"/>
          </a:lnRef>
          <a:fillRef idx="0">
            <a:schemeClr val="dk1"/>
          </a:fillRef>
          <a:effectRef idx="0">
            <a:schemeClr val="dk1"/>
          </a:effectRef>
          <a:fontRef idx="minor">
            <a:schemeClr val="tx1"/>
          </a:fontRef>
        </xdr:style>
      </xdr:cxnSp>
      <xdr:cxnSp macro="">
        <xdr:nvCxnSpPr>
          <xdr:cNvPr id="71" name="Straight Arrow Connector 70">
            <a:extLst>
              <a:ext uri="{FF2B5EF4-FFF2-40B4-BE49-F238E27FC236}">
                <a16:creationId xmlns:a16="http://schemas.microsoft.com/office/drawing/2014/main" id="{5C51337C-566C-40C7-A6E7-AB4835D8F674}"/>
              </a:ext>
            </a:extLst>
          </xdr:cNvPr>
          <xdr:cNvCxnSpPr/>
        </xdr:nvCxnSpPr>
        <xdr:spPr>
          <a:xfrm>
            <a:off x="9765317" y="8188568"/>
            <a:ext cx="0" cy="504093"/>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149465</xdr:colOff>
      <xdr:row>49</xdr:row>
      <xdr:rowOff>24455</xdr:rowOff>
    </xdr:from>
    <xdr:to>
      <xdr:col>16</xdr:col>
      <xdr:colOff>82061</xdr:colOff>
      <xdr:row>50</xdr:row>
      <xdr:rowOff>58889</xdr:rowOff>
    </xdr:to>
    <xdr:grpSp>
      <xdr:nvGrpSpPr>
        <xdr:cNvPr id="73" name="Group 72">
          <a:extLst>
            <a:ext uri="{FF2B5EF4-FFF2-40B4-BE49-F238E27FC236}">
              <a16:creationId xmlns:a16="http://schemas.microsoft.com/office/drawing/2014/main" id="{BB90ACDA-988B-45F6-BAA0-634541D22D43}"/>
            </a:ext>
          </a:extLst>
        </xdr:cNvPr>
        <xdr:cNvGrpSpPr/>
      </xdr:nvGrpSpPr>
      <xdr:grpSpPr>
        <a:xfrm rot="5400000">
          <a:off x="2663946" y="9746424"/>
          <a:ext cx="237634" cy="694596"/>
          <a:chOff x="9665675" y="9161583"/>
          <a:chExt cx="486507" cy="504093"/>
        </a:xfrm>
      </xdr:grpSpPr>
      <xdr:cxnSp macro="">
        <xdr:nvCxnSpPr>
          <xdr:cNvPr id="524" name="Straight Connector 523">
            <a:extLst>
              <a:ext uri="{FF2B5EF4-FFF2-40B4-BE49-F238E27FC236}">
                <a16:creationId xmlns:a16="http://schemas.microsoft.com/office/drawing/2014/main" id="{581E13E6-CACC-4344-9C00-139B4E02B95E}"/>
              </a:ext>
            </a:extLst>
          </xdr:cNvPr>
          <xdr:cNvCxnSpPr/>
        </xdr:nvCxnSpPr>
        <xdr:spPr>
          <a:xfrm>
            <a:off x="9665675" y="9161584"/>
            <a:ext cx="474784" cy="0"/>
          </a:xfrm>
          <a:prstGeom prst="line">
            <a:avLst/>
          </a:prstGeom>
          <a:ln>
            <a:headEnd w="sm" len="lg"/>
            <a:tailEnd w="sm" len="lg"/>
          </a:ln>
        </xdr:spPr>
        <xdr:style>
          <a:lnRef idx="1">
            <a:schemeClr val="dk1"/>
          </a:lnRef>
          <a:fillRef idx="0">
            <a:schemeClr val="dk1"/>
          </a:fillRef>
          <a:effectRef idx="0">
            <a:schemeClr val="dk1"/>
          </a:effectRef>
          <a:fontRef idx="minor">
            <a:schemeClr val="tx1"/>
          </a:fontRef>
        </xdr:style>
      </xdr:cxnSp>
      <xdr:cxnSp macro="">
        <xdr:nvCxnSpPr>
          <xdr:cNvPr id="525" name="Straight Connector 524">
            <a:extLst>
              <a:ext uri="{FF2B5EF4-FFF2-40B4-BE49-F238E27FC236}">
                <a16:creationId xmlns:a16="http://schemas.microsoft.com/office/drawing/2014/main" id="{6D81902F-C221-4802-8614-ABE4809B5A05}"/>
              </a:ext>
            </a:extLst>
          </xdr:cNvPr>
          <xdr:cNvCxnSpPr/>
        </xdr:nvCxnSpPr>
        <xdr:spPr>
          <a:xfrm>
            <a:off x="9677398" y="9659816"/>
            <a:ext cx="474784" cy="0"/>
          </a:xfrm>
          <a:prstGeom prst="line">
            <a:avLst/>
          </a:prstGeom>
          <a:ln>
            <a:headEnd w="sm" len="lg"/>
            <a:tailEnd w="sm" len="lg"/>
          </a:ln>
        </xdr:spPr>
        <xdr:style>
          <a:lnRef idx="1">
            <a:schemeClr val="dk1"/>
          </a:lnRef>
          <a:fillRef idx="0">
            <a:schemeClr val="dk1"/>
          </a:fillRef>
          <a:effectRef idx="0">
            <a:schemeClr val="dk1"/>
          </a:effectRef>
          <a:fontRef idx="minor">
            <a:schemeClr val="tx1"/>
          </a:fontRef>
        </xdr:style>
      </xdr:cxnSp>
      <xdr:cxnSp macro="">
        <xdr:nvCxnSpPr>
          <xdr:cNvPr id="526" name="Straight Arrow Connector 525">
            <a:extLst>
              <a:ext uri="{FF2B5EF4-FFF2-40B4-BE49-F238E27FC236}">
                <a16:creationId xmlns:a16="http://schemas.microsoft.com/office/drawing/2014/main" id="{FC91C5AA-AF78-4E82-8EF9-C86B18DA3432}"/>
              </a:ext>
            </a:extLst>
          </xdr:cNvPr>
          <xdr:cNvCxnSpPr/>
        </xdr:nvCxnSpPr>
        <xdr:spPr>
          <a:xfrm>
            <a:off x="10040809" y="9161583"/>
            <a:ext cx="0" cy="504093"/>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118534</xdr:colOff>
      <xdr:row>46</xdr:row>
      <xdr:rowOff>84667</xdr:rowOff>
    </xdr:from>
    <xdr:to>
      <xdr:col>9</xdr:col>
      <xdr:colOff>15645</xdr:colOff>
      <xdr:row>64</xdr:row>
      <xdr:rowOff>127001</xdr:rowOff>
    </xdr:to>
    <xdr:grpSp>
      <xdr:nvGrpSpPr>
        <xdr:cNvPr id="108" name="Group 107">
          <a:extLst>
            <a:ext uri="{FF2B5EF4-FFF2-40B4-BE49-F238E27FC236}">
              <a16:creationId xmlns:a16="http://schemas.microsoft.com/office/drawing/2014/main" id="{52CBB89E-21D0-4240-9A6C-C743BE58D1AA}"/>
            </a:ext>
          </a:extLst>
        </xdr:cNvPr>
        <xdr:cNvGrpSpPr/>
      </xdr:nvGrpSpPr>
      <xdr:grpSpPr>
        <a:xfrm>
          <a:off x="309034" y="9425517"/>
          <a:ext cx="1421111" cy="3699934"/>
          <a:chOff x="7217301" y="7865533"/>
          <a:chExt cx="985611" cy="4132943"/>
        </a:xfrm>
      </xdr:grpSpPr>
      <xdr:cxnSp macro="">
        <xdr:nvCxnSpPr>
          <xdr:cNvPr id="57" name="Straight Connector 56">
            <a:extLst>
              <a:ext uri="{FF2B5EF4-FFF2-40B4-BE49-F238E27FC236}">
                <a16:creationId xmlns:a16="http://schemas.microsoft.com/office/drawing/2014/main" id="{930D010E-DA02-4350-BA23-387829BD35B3}"/>
              </a:ext>
            </a:extLst>
          </xdr:cNvPr>
          <xdr:cNvCxnSpPr/>
        </xdr:nvCxnSpPr>
        <xdr:spPr>
          <a:xfrm flipH="1">
            <a:off x="7222723" y="7870996"/>
            <a:ext cx="98018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18" name="Straight Connector 517">
            <a:extLst>
              <a:ext uri="{FF2B5EF4-FFF2-40B4-BE49-F238E27FC236}">
                <a16:creationId xmlns:a16="http://schemas.microsoft.com/office/drawing/2014/main" id="{395890EE-24BF-4AB4-972F-2ACE91C7C7B1}"/>
              </a:ext>
            </a:extLst>
          </xdr:cNvPr>
          <xdr:cNvCxnSpPr/>
        </xdr:nvCxnSpPr>
        <xdr:spPr>
          <a:xfrm flipH="1">
            <a:off x="7217301" y="11998476"/>
            <a:ext cx="86025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0" name="Straight Arrow Connector 59">
            <a:extLst>
              <a:ext uri="{FF2B5EF4-FFF2-40B4-BE49-F238E27FC236}">
                <a16:creationId xmlns:a16="http://schemas.microsoft.com/office/drawing/2014/main" id="{0C596FFE-0040-480D-B8ED-158986D45513}"/>
              </a:ext>
            </a:extLst>
          </xdr:cNvPr>
          <xdr:cNvCxnSpPr/>
        </xdr:nvCxnSpPr>
        <xdr:spPr>
          <a:xfrm>
            <a:off x="7303923" y="7865533"/>
            <a:ext cx="0" cy="4132943"/>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109540</xdr:colOff>
      <xdr:row>61</xdr:row>
      <xdr:rowOff>71445</xdr:rowOff>
    </xdr:from>
    <xdr:to>
      <xdr:col>12</xdr:col>
      <xdr:colOff>177800</xdr:colOff>
      <xdr:row>63</xdr:row>
      <xdr:rowOff>50800</xdr:rowOff>
    </xdr:to>
    <xdr:cxnSp macro="">
      <xdr:nvCxnSpPr>
        <xdr:cNvPr id="94" name="Connector: Elbow 93">
          <a:extLst>
            <a:ext uri="{FF2B5EF4-FFF2-40B4-BE49-F238E27FC236}">
              <a16:creationId xmlns:a16="http://schemas.microsoft.com/office/drawing/2014/main" id="{972827D8-F50A-4DEB-9A6C-36AB3B339083}"/>
            </a:ext>
          </a:extLst>
        </xdr:cNvPr>
        <xdr:cNvCxnSpPr/>
      </xdr:nvCxnSpPr>
      <xdr:spPr>
        <a:xfrm rot="10800000">
          <a:off x="8483073" y="10781778"/>
          <a:ext cx="440794" cy="368822"/>
        </a:xfrm>
        <a:prstGeom prst="bentConnector3">
          <a:avLst>
            <a:gd name="adj1" fmla="val 50000"/>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152400</xdr:colOff>
      <xdr:row>57</xdr:row>
      <xdr:rowOff>167640</xdr:rowOff>
    </xdr:from>
    <xdr:to>
      <xdr:col>27</xdr:col>
      <xdr:colOff>53340</xdr:colOff>
      <xdr:row>57</xdr:row>
      <xdr:rowOff>167640</xdr:rowOff>
    </xdr:to>
    <xdr:cxnSp macro="">
      <xdr:nvCxnSpPr>
        <xdr:cNvPr id="6" name="Straight Arrow Connector 5">
          <a:extLst>
            <a:ext uri="{FF2B5EF4-FFF2-40B4-BE49-F238E27FC236}">
              <a16:creationId xmlns:a16="http://schemas.microsoft.com/office/drawing/2014/main" id="{4EF5DC5E-781A-46EC-82E5-08AE8BFD1F72}"/>
            </a:ext>
          </a:extLst>
        </xdr:cNvPr>
        <xdr:cNvCxnSpPr/>
      </xdr:nvCxnSpPr>
      <xdr:spPr>
        <a:xfrm>
          <a:off x="4198620" y="14630400"/>
          <a:ext cx="81534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148590</xdr:colOff>
      <xdr:row>53</xdr:row>
      <xdr:rowOff>148590</xdr:rowOff>
    </xdr:from>
    <xdr:to>
      <xdr:col>22</xdr:col>
      <xdr:colOff>148590</xdr:colOff>
      <xdr:row>57</xdr:row>
      <xdr:rowOff>171450</xdr:rowOff>
    </xdr:to>
    <xdr:cxnSp macro="">
      <xdr:nvCxnSpPr>
        <xdr:cNvPr id="243" name="Straight Arrow Connector 242">
          <a:extLst>
            <a:ext uri="{FF2B5EF4-FFF2-40B4-BE49-F238E27FC236}">
              <a16:creationId xmlns:a16="http://schemas.microsoft.com/office/drawing/2014/main" id="{4F30E1EF-A773-45B2-8FA3-A96311708B73}"/>
            </a:ext>
          </a:extLst>
        </xdr:cNvPr>
        <xdr:cNvCxnSpPr/>
      </xdr:nvCxnSpPr>
      <xdr:spPr>
        <a:xfrm rot="16200000">
          <a:off x="3787140" y="14226540"/>
          <a:ext cx="81534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155328</xdr:colOff>
      <xdr:row>113</xdr:row>
      <xdr:rowOff>10897</xdr:rowOff>
    </xdr:from>
    <xdr:ext cx="1676399" cy="183836"/>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E723A7D2-3170-45C4-9E7A-CEEF0894B1F0}"/>
                </a:ext>
              </a:extLst>
            </xdr:cNvPr>
            <xdr:cNvSpPr txBox="1"/>
          </xdr:nvSpPr>
          <xdr:spPr>
            <a:xfrm>
              <a:off x="1476128" y="22794697"/>
              <a:ext cx="1676399" cy="1838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𝑃</m:t>
                      </m:r>
                    </m:e>
                    <m:sub>
                      <m:r>
                        <a:rPr lang="en-US" sz="1000" b="0" i="1">
                          <a:latin typeface="Cambria Math" panose="02040503050406030204" pitchFamily="18" charset="0"/>
                        </a:rPr>
                        <m:t>𝑧</m:t>
                      </m:r>
                    </m:sub>
                  </m:sSub>
                  <m:r>
                    <a:rPr lang="en-US" sz="1000" b="0" i="1">
                      <a:latin typeface="Cambria Math" panose="02040503050406030204" pitchFamily="18" charset="0"/>
                    </a:rPr>
                    <m:t>=0.00256 </m:t>
                  </m:r>
                  <m:sSub>
                    <m:sSubPr>
                      <m:ctrlPr>
                        <a:rPr lang="en-US" sz="1000" b="0" i="1">
                          <a:latin typeface="Cambria Math" panose="02040503050406030204" pitchFamily="18" charset="0"/>
                        </a:rPr>
                      </m:ctrlPr>
                    </m:sSubPr>
                    <m:e>
                      <m:r>
                        <a:rPr lang="en-US" sz="1000" b="0" i="1">
                          <a:latin typeface="Cambria Math" panose="02040503050406030204" pitchFamily="18" charset="0"/>
                        </a:rPr>
                        <m:t>𝐾</m:t>
                      </m:r>
                    </m:e>
                    <m:sub>
                      <m:r>
                        <a:rPr lang="en-US" sz="1000" b="0" i="1">
                          <a:latin typeface="Cambria Math" panose="02040503050406030204" pitchFamily="18" charset="0"/>
                        </a:rPr>
                        <m:t>𝑧</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𝐾</m:t>
                      </m:r>
                    </m:e>
                    <m:sub>
                      <m:r>
                        <a:rPr lang="en-US" sz="1000" b="0" i="1">
                          <a:latin typeface="Cambria Math" panose="02040503050406030204" pitchFamily="18" charset="0"/>
                        </a:rPr>
                        <m:t>𝑑</m:t>
                      </m:r>
                    </m:sub>
                  </m:sSub>
                  <m:r>
                    <a:rPr lang="en-US" sz="1000" b="0" i="1">
                      <a:latin typeface="Cambria Math" panose="02040503050406030204" pitchFamily="18" charset="0"/>
                    </a:rPr>
                    <m:t>𝐺</m:t>
                  </m:r>
                  <m:sSup>
                    <m:sSupPr>
                      <m:ctrlPr>
                        <a:rPr lang="en-US" sz="1000" b="0" i="1">
                          <a:latin typeface="Cambria Math" panose="02040503050406030204" pitchFamily="18" charset="0"/>
                        </a:rPr>
                      </m:ctrlPr>
                    </m:sSupPr>
                    <m:e>
                      <m:r>
                        <a:rPr lang="en-US" sz="1000" b="0" i="1">
                          <a:latin typeface="Cambria Math" panose="02040503050406030204" pitchFamily="18" charset="0"/>
                        </a:rPr>
                        <m:t>𝑉</m:t>
                      </m:r>
                    </m:e>
                    <m:sup>
                      <m:r>
                        <a:rPr lang="en-US" sz="1000" b="0" i="1">
                          <a:latin typeface="Cambria Math" panose="02040503050406030204" pitchFamily="18" charset="0"/>
                        </a:rPr>
                        <m:t>2</m:t>
                      </m:r>
                    </m:sup>
                  </m:sSup>
                  <m:sSub>
                    <m:sSubPr>
                      <m:ctrlPr>
                        <a:rPr lang="en-US" sz="1000" b="0" i="1">
                          <a:latin typeface="Cambria Math" panose="02040503050406030204" pitchFamily="18" charset="0"/>
                        </a:rPr>
                      </m:ctrlPr>
                    </m:sSubPr>
                    <m:e>
                      <m:r>
                        <a:rPr lang="en-US" sz="1000" b="0" i="1">
                          <a:latin typeface="Cambria Math" panose="02040503050406030204" pitchFamily="18" charset="0"/>
                        </a:rPr>
                        <m:t>𝐶</m:t>
                      </m:r>
                    </m:e>
                    <m:sub>
                      <m:r>
                        <a:rPr lang="en-US" sz="1000" b="0" i="1">
                          <a:latin typeface="Cambria Math" panose="02040503050406030204" pitchFamily="18" charset="0"/>
                        </a:rPr>
                        <m:t>𝑑</m:t>
                      </m:r>
                    </m:sub>
                  </m:sSub>
                </m:oMath>
              </a14:m>
              <a:r>
                <a:rPr lang="en-US" sz="1100"/>
                <a:t> =</a:t>
              </a:r>
            </a:p>
          </xdr:txBody>
        </xdr:sp>
      </mc:Choice>
      <mc:Fallback xmlns="">
        <xdr:sp macro="" textlink="">
          <xdr:nvSpPr>
            <xdr:cNvPr id="2" name="TextBox 1">
              <a:extLst>
                <a:ext uri="{FF2B5EF4-FFF2-40B4-BE49-F238E27FC236}">
                  <a16:creationId xmlns:a16="http://schemas.microsoft.com/office/drawing/2014/main" id="{E723A7D2-3170-45C4-9E7A-CEEF0894B1F0}"/>
                </a:ext>
              </a:extLst>
            </xdr:cNvPr>
            <xdr:cNvSpPr txBox="1"/>
          </xdr:nvSpPr>
          <xdr:spPr>
            <a:xfrm>
              <a:off x="1476128" y="22794697"/>
              <a:ext cx="1676399" cy="1838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000" b="0" i="0">
                  <a:latin typeface="Cambria Math" panose="02040503050406030204" pitchFamily="18" charset="0"/>
                </a:rPr>
                <a:t>𝑃_𝑧=0.00256 𝐾_𝑧 𝐾_𝑑 𝐺𝑉^2 𝐶_𝑑</a:t>
              </a:r>
              <a:r>
                <a:rPr lang="en-US" sz="1100"/>
                <a:t> =</a:t>
              </a:r>
            </a:p>
          </xdr:txBody>
        </xdr:sp>
      </mc:Fallback>
    </mc:AlternateContent>
    <xdr:clientData/>
  </xdr:oneCellAnchor>
  <xdr:oneCellAnchor>
    <xdr:from>
      <xdr:col>1</xdr:col>
      <xdr:colOff>152400</xdr:colOff>
      <xdr:row>149</xdr:row>
      <xdr:rowOff>0</xdr:rowOff>
    </xdr:from>
    <xdr:ext cx="1676400" cy="194734"/>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3D4DF745-F20C-4864-8A14-6A2D2EFD4362}"/>
                </a:ext>
              </a:extLst>
            </xdr:cNvPr>
            <xdr:cNvSpPr txBox="1"/>
          </xdr:nvSpPr>
          <xdr:spPr>
            <a:xfrm>
              <a:off x="355600" y="28498800"/>
              <a:ext cx="1676400" cy="194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𝑈</m:t>
                    </m:r>
                    <m:r>
                      <a:rPr lang="en-US" sz="1000" b="0" i="1">
                        <a:latin typeface="Cambria Math" panose="02040503050406030204" pitchFamily="18" charset="0"/>
                      </a:rPr>
                      <m:t>= </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ea typeface="Cambria Math" panose="02040503050406030204" pitchFamily="18" charset="0"/>
                          </a:rPr>
                          <m:t>𝐷𝐶</m:t>
                        </m:r>
                      </m:sub>
                    </m:sSub>
                    <m:r>
                      <a:rPr lang="en-US" sz="1000" b="0" i="1">
                        <a:latin typeface="Cambria Math" panose="02040503050406030204" pitchFamily="18" charset="0"/>
                        <a:ea typeface="Cambria Math" panose="02040503050406030204" pitchFamily="18" charset="0"/>
                      </a:rPr>
                      <m:t>𝐷𝐶</m:t>
                    </m:r>
                    <m:r>
                      <a:rPr lang="en-US" sz="1000" b="0" i="1">
                        <a:latin typeface="Cambria Math" panose="02040503050406030204" pitchFamily="18" charset="0"/>
                        <a:ea typeface="Cambria Math" panose="02040503050406030204" pitchFamily="18" charset="0"/>
                      </a:rPr>
                      <m:t>+ </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ea typeface="Cambria Math" panose="02040503050406030204" pitchFamily="18" charset="0"/>
                          </a:rPr>
                          <m:t>𝐿𝐿</m:t>
                        </m:r>
                      </m:sub>
                    </m:sSub>
                    <m:r>
                      <a:rPr lang="en-US" sz="1000" b="0" i="1">
                        <a:latin typeface="Cambria Math" panose="02040503050406030204" pitchFamily="18" charset="0"/>
                        <a:ea typeface="Cambria Math" panose="02040503050406030204" pitchFamily="18" charset="0"/>
                      </a:rPr>
                      <m:t>𝐿𝐿</m:t>
                    </m:r>
                    <m:r>
                      <a:rPr lang="en-US" sz="1000" b="0" i="1">
                        <a:latin typeface="Cambria Math" panose="02040503050406030204" pitchFamily="18" charset="0"/>
                        <a:ea typeface="Cambria Math" panose="02040503050406030204" pitchFamily="18" charset="0"/>
                      </a:rPr>
                      <m:t>+ </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ea typeface="Cambria Math" panose="02040503050406030204" pitchFamily="18" charset="0"/>
                          </a:rPr>
                          <m:t>𝑊</m:t>
                        </m:r>
                      </m:sub>
                    </m:sSub>
                    <m:r>
                      <a:rPr lang="en-US" sz="1000" b="0" i="1">
                        <a:latin typeface="Cambria Math" panose="02040503050406030204" pitchFamily="18" charset="0"/>
                        <a:ea typeface="Cambria Math" panose="02040503050406030204" pitchFamily="18" charset="0"/>
                      </a:rPr>
                      <m:t>𝑊</m:t>
                    </m:r>
                  </m:oMath>
                </m:oMathPara>
              </a14:m>
              <a:endParaRPr lang="en-US" sz="1100"/>
            </a:p>
          </xdr:txBody>
        </xdr:sp>
      </mc:Choice>
      <mc:Fallback xmlns="">
        <xdr:sp macro="" textlink="">
          <xdr:nvSpPr>
            <xdr:cNvPr id="3" name="TextBox 2">
              <a:extLst>
                <a:ext uri="{FF2B5EF4-FFF2-40B4-BE49-F238E27FC236}">
                  <a16:creationId xmlns:a16="http://schemas.microsoft.com/office/drawing/2014/main" id="{3D4DF745-F20C-4864-8A14-6A2D2EFD4362}"/>
                </a:ext>
              </a:extLst>
            </xdr:cNvPr>
            <xdr:cNvSpPr txBox="1"/>
          </xdr:nvSpPr>
          <xdr:spPr>
            <a:xfrm>
              <a:off x="355600" y="28498800"/>
              <a:ext cx="1676400" cy="194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000" b="0" i="0">
                  <a:latin typeface="Cambria Math" panose="02040503050406030204" pitchFamily="18" charset="0"/>
                </a:rPr>
                <a:t>𝑈= </a:t>
              </a:r>
              <a:r>
                <a:rPr lang="en-US" sz="1000" b="0" i="0">
                  <a:latin typeface="Cambria Math" panose="02040503050406030204" pitchFamily="18" charset="0"/>
                  <a:ea typeface="Cambria Math" panose="02040503050406030204" pitchFamily="18" charset="0"/>
                </a:rPr>
                <a:t>𝛾_𝐷𝐶 𝐷𝐶+ 𝛾_𝐿𝐿 𝐿𝐿+ 𝛾_𝑊 𝑊</a:t>
              </a:r>
              <a:endParaRPr lang="en-US" sz="1100"/>
            </a:p>
          </xdr:txBody>
        </xdr:sp>
      </mc:Fallback>
    </mc:AlternateContent>
    <xdr:clientData/>
  </xdr:oneCellAnchor>
  <xdr:oneCellAnchor>
    <xdr:from>
      <xdr:col>7</xdr:col>
      <xdr:colOff>117186</xdr:colOff>
      <xdr:row>311</xdr:row>
      <xdr:rowOff>32324</xdr:rowOff>
    </xdr:from>
    <xdr:ext cx="1676400" cy="182614"/>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68A21D5B-423F-42E0-8D04-97D7FF935273}"/>
                </a:ext>
              </a:extLst>
            </xdr:cNvPr>
            <xdr:cNvSpPr txBox="1"/>
          </xdr:nvSpPr>
          <xdr:spPr>
            <a:xfrm>
              <a:off x="1406236" y="60147774"/>
              <a:ext cx="1676400" cy="182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900" b="0" i="1">
                            <a:latin typeface="Cambria Math" panose="02040503050406030204" pitchFamily="18" charset="0"/>
                          </a:rPr>
                        </m:ctrlPr>
                      </m:sSubPr>
                      <m:e>
                        <m:r>
                          <a:rPr lang="en-US" sz="900" b="0" i="1">
                            <a:latin typeface="Cambria Math" panose="02040503050406030204" pitchFamily="18" charset="0"/>
                          </a:rPr>
                          <m:t>𝑅</m:t>
                        </m:r>
                      </m:e>
                      <m:sub>
                        <m:r>
                          <a:rPr lang="en-US" sz="900" b="0" i="1">
                            <a:latin typeface="Cambria Math" panose="02040503050406030204" pitchFamily="18" charset="0"/>
                          </a:rPr>
                          <m:t>𝑅</m:t>
                        </m:r>
                      </m:sub>
                    </m:sSub>
                    <m:r>
                      <a:rPr lang="en-US" sz="900" b="0" i="1">
                        <a:latin typeface="Cambria Math" panose="02040503050406030204" pitchFamily="18" charset="0"/>
                      </a:rPr>
                      <m:t>=</m:t>
                    </m:r>
                    <m:r>
                      <a:rPr lang="en-US" sz="900" b="0" i="1">
                        <a:latin typeface="Cambria Math" panose="02040503050406030204" pitchFamily="18" charset="0"/>
                        <a:ea typeface="Cambria Math" panose="02040503050406030204" pitchFamily="18" charset="0"/>
                      </a:rPr>
                      <m:t>𝜑</m:t>
                    </m:r>
                    <m:sSub>
                      <m:sSubPr>
                        <m:ctrlPr>
                          <a:rPr lang="en-US" sz="900" b="0" i="1">
                            <a:latin typeface="Cambria Math" panose="02040503050406030204" pitchFamily="18" charset="0"/>
                            <a:ea typeface="Cambria Math" panose="02040503050406030204" pitchFamily="18" charset="0"/>
                          </a:rPr>
                        </m:ctrlPr>
                      </m:sSubPr>
                      <m:e>
                        <m:r>
                          <a:rPr lang="en-US" sz="900" b="0" i="1">
                            <a:latin typeface="Cambria Math" panose="02040503050406030204" pitchFamily="18" charset="0"/>
                            <a:ea typeface="Cambria Math" panose="02040503050406030204" pitchFamily="18" charset="0"/>
                          </a:rPr>
                          <m:t>𝑅</m:t>
                        </m:r>
                      </m:e>
                      <m:sub>
                        <m:r>
                          <a:rPr lang="en-US" sz="900" b="0" i="1">
                            <a:latin typeface="Cambria Math" panose="02040503050406030204" pitchFamily="18" charset="0"/>
                            <a:ea typeface="Cambria Math" panose="02040503050406030204" pitchFamily="18" charset="0"/>
                          </a:rPr>
                          <m:t>𝑛</m:t>
                        </m:r>
                      </m:sub>
                    </m:sSub>
                    <m:r>
                      <a:rPr lang="en-US" sz="900" b="0" i="1">
                        <a:latin typeface="Cambria Math" panose="02040503050406030204" pitchFamily="18" charset="0"/>
                        <a:ea typeface="Cambria Math" panose="02040503050406030204" pitchFamily="18" charset="0"/>
                      </a:rPr>
                      <m:t>=</m:t>
                    </m:r>
                    <m:sSub>
                      <m:sSubPr>
                        <m:ctrlPr>
                          <a:rPr lang="en-US" sz="900" b="0" i="1">
                            <a:latin typeface="Cambria Math" panose="02040503050406030204" pitchFamily="18" charset="0"/>
                            <a:ea typeface="Cambria Math" panose="02040503050406030204" pitchFamily="18" charset="0"/>
                          </a:rPr>
                        </m:ctrlPr>
                      </m:sSubPr>
                      <m:e>
                        <m:r>
                          <a:rPr lang="en-US" sz="900" b="0" i="1">
                            <a:latin typeface="Cambria Math" panose="02040503050406030204" pitchFamily="18" charset="0"/>
                            <a:ea typeface="Cambria Math" panose="02040503050406030204" pitchFamily="18" charset="0"/>
                          </a:rPr>
                          <m:t>𝜑</m:t>
                        </m:r>
                      </m:e>
                      <m:sub>
                        <m:r>
                          <a:rPr lang="en-US" sz="900" b="0" i="1">
                            <a:latin typeface="Cambria Math" panose="02040503050406030204" pitchFamily="18" charset="0"/>
                            <a:ea typeface="Cambria Math" panose="02040503050406030204" pitchFamily="18" charset="0"/>
                          </a:rPr>
                          <m:t>𝑞𝑝</m:t>
                        </m:r>
                      </m:sub>
                    </m:sSub>
                    <m:sSub>
                      <m:sSubPr>
                        <m:ctrlPr>
                          <a:rPr lang="en-US" sz="900" b="0" i="1">
                            <a:latin typeface="Cambria Math" panose="02040503050406030204" pitchFamily="18" charset="0"/>
                            <a:ea typeface="Cambria Math" panose="02040503050406030204" pitchFamily="18" charset="0"/>
                          </a:rPr>
                        </m:ctrlPr>
                      </m:sSubPr>
                      <m:e>
                        <m:r>
                          <a:rPr lang="en-US" sz="900" b="0" i="1">
                            <a:latin typeface="Cambria Math" panose="02040503050406030204" pitchFamily="18" charset="0"/>
                            <a:ea typeface="Cambria Math" panose="02040503050406030204" pitchFamily="18" charset="0"/>
                          </a:rPr>
                          <m:t>𝑅</m:t>
                        </m:r>
                      </m:e>
                      <m:sub>
                        <m:r>
                          <a:rPr lang="en-US" sz="900" b="0" i="1">
                            <a:latin typeface="Cambria Math" panose="02040503050406030204" pitchFamily="18" charset="0"/>
                            <a:ea typeface="Cambria Math" panose="02040503050406030204" pitchFamily="18" charset="0"/>
                          </a:rPr>
                          <m:t>𝑝</m:t>
                        </m:r>
                      </m:sub>
                    </m:sSub>
                    <m:r>
                      <a:rPr lang="en-US" sz="900" b="0" i="1">
                        <a:latin typeface="Cambria Math" panose="02040503050406030204" pitchFamily="18" charset="0"/>
                        <a:ea typeface="Cambria Math" panose="02040503050406030204" pitchFamily="18" charset="0"/>
                      </a:rPr>
                      <m:t>+</m:t>
                    </m:r>
                    <m:sSub>
                      <m:sSubPr>
                        <m:ctrlPr>
                          <a:rPr lang="en-US" sz="900" b="0" i="1">
                            <a:latin typeface="Cambria Math" panose="02040503050406030204" pitchFamily="18" charset="0"/>
                            <a:ea typeface="Cambria Math" panose="02040503050406030204" pitchFamily="18" charset="0"/>
                          </a:rPr>
                        </m:ctrlPr>
                      </m:sSubPr>
                      <m:e>
                        <m:r>
                          <a:rPr lang="en-US" sz="900" b="0" i="1">
                            <a:latin typeface="Cambria Math" panose="02040503050406030204" pitchFamily="18" charset="0"/>
                            <a:ea typeface="Cambria Math" panose="02040503050406030204" pitchFamily="18" charset="0"/>
                          </a:rPr>
                          <m:t>𝜑</m:t>
                        </m:r>
                      </m:e>
                      <m:sub>
                        <m:r>
                          <a:rPr lang="en-US" sz="900" b="0" i="1">
                            <a:latin typeface="Cambria Math" panose="02040503050406030204" pitchFamily="18" charset="0"/>
                            <a:ea typeface="Cambria Math" panose="02040503050406030204" pitchFamily="18" charset="0"/>
                          </a:rPr>
                          <m:t>𝑞𝑠</m:t>
                        </m:r>
                      </m:sub>
                    </m:sSub>
                    <m:sSub>
                      <m:sSubPr>
                        <m:ctrlPr>
                          <a:rPr lang="en-US" sz="900" b="0" i="1">
                            <a:latin typeface="Cambria Math" panose="02040503050406030204" pitchFamily="18" charset="0"/>
                            <a:ea typeface="Cambria Math" panose="02040503050406030204" pitchFamily="18" charset="0"/>
                          </a:rPr>
                        </m:ctrlPr>
                      </m:sSubPr>
                      <m:e>
                        <m:r>
                          <a:rPr lang="en-US" sz="900" b="0" i="1">
                            <a:latin typeface="Cambria Math" panose="02040503050406030204" pitchFamily="18" charset="0"/>
                            <a:ea typeface="Cambria Math" panose="02040503050406030204" pitchFamily="18" charset="0"/>
                          </a:rPr>
                          <m:t>𝑅</m:t>
                        </m:r>
                      </m:e>
                      <m:sub>
                        <m:r>
                          <a:rPr lang="en-US" sz="900" b="0" i="1">
                            <a:latin typeface="Cambria Math" panose="02040503050406030204" pitchFamily="18" charset="0"/>
                            <a:ea typeface="Cambria Math" panose="02040503050406030204" pitchFamily="18" charset="0"/>
                          </a:rPr>
                          <m:t>𝑠</m:t>
                        </m:r>
                      </m:sub>
                    </m:sSub>
                  </m:oMath>
                </m:oMathPara>
              </a14:m>
              <a:endParaRPr lang="en-US" sz="1100"/>
            </a:p>
          </xdr:txBody>
        </xdr:sp>
      </mc:Choice>
      <mc:Fallback xmlns="">
        <xdr:sp macro="" textlink="">
          <xdr:nvSpPr>
            <xdr:cNvPr id="4" name="TextBox 3">
              <a:extLst>
                <a:ext uri="{FF2B5EF4-FFF2-40B4-BE49-F238E27FC236}">
                  <a16:creationId xmlns:a16="http://schemas.microsoft.com/office/drawing/2014/main" id="{68A21D5B-423F-42E0-8D04-97D7FF935273}"/>
                </a:ext>
              </a:extLst>
            </xdr:cNvPr>
            <xdr:cNvSpPr txBox="1"/>
          </xdr:nvSpPr>
          <xdr:spPr>
            <a:xfrm>
              <a:off x="1406236" y="60147774"/>
              <a:ext cx="1676400" cy="182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900" b="0" i="0">
                  <a:latin typeface="Cambria Math" panose="02040503050406030204" pitchFamily="18" charset="0"/>
                </a:rPr>
                <a:t>𝑅_𝑅=</a:t>
              </a:r>
              <a:r>
                <a:rPr lang="en-US" sz="900" b="0" i="0">
                  <a:latin typeface="Cambria Math" panose="02040503050406030204" pitchFamily="18" charset="0"/>
                  <a:ea typeface="Cambria Math" panose="02040503050406030204" pitchFamily="18" charset="0"/>
                </a:rPr>
                <a:t>𝜑𝑅_𝑛=𝜑_𝑞𝑝 𝑅_𝑝+𝜑_𝑞𝑠 𝑅_𝑠</a:t>
              </a:r>
              <a:endParaRPr lang="en-US" sz="1100"/>
            </a:p>
          </xdr:txBody>
        </xdr:sp>
      </mc:Fallback>
    </mc:AlternateContent>
    <xdr:clientData/>
  </xdr:oneCellAnchor>
  <xdr:oneCellAnchor>
    <xdr:from>
      <xdr:col>9</xdr:col>
      <xdr:colOff>127000</xdr:colOff>
      <xdr:row>120</xdr:row>
      <xdr:rowOff>8467</xdr:rowOff>
    </xdr:from>
    <xdr:ext cx="1117600" cy="194734"/>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9C9B0310-69CE-428C-AF76-1F32725C3504}"/>
                </a:ext>
              </a:extLst>
            </xdr:cNvPr>
            <xdr:cNvSpPr txBox="1"/>
          </xdr:nvSpPr>
          <xdr:spPr>
            <a:xfrm>
              <a:off x="1820333" y="24934334"/>
              <a:ext cx="1117600" cy="194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14:m>
                <m:oMath xmlns:m="http://schemas.openxmlformats.org/officeDocument/2006/math">
                  <m:r>
                    <a:rPr lang="en-US" sz="1000" b="0" i="1">
                      <a:latin typeface="Cambria Math" panose="02040503050406030204" pitchFamily="18" charset="0"/>
                    </a:rPr>
                    <m:t>𝑊</m:t>
                  </m:r>
                  <m:r>
                    <a:rPr lang="en-US" sz="1000" b="0" i="1">
                      <a:latin typeface="Cambria Math" panose="02040503050406030204" pitchFamily="18" charset="0"/>
                    </a:rPr>
                    <m:t>= </m:t>
                  </m:r>
                  <m:r>
                    <m:rPr>
                      <m:sty m:val="p"/>
                    </m:rPr>
                    <a:rPr lang="el-GR" sz="1100" b="0" i="1">
                      <a:solidFill>
                        <a:schemeClr val="tx1"/>
                      </a:solidFill>
                      <a:effectLst/>
                      <a:latin typeface="Cambria Math" panose="02040503050406030204" pitchFamily="18" charset="0"/>
                      <a:ea typeface="+mn-ea"/>
                      <a:cs typeface="+mn-cs"/>
                    </a:rPr>
                    <m:t>Σ</m:t>
                  </m:r>
                  <m:r>
                    <a:rPr lang="en-US" sz="1100" b="0" i="1">
                      <a:solidFill>
                        <a:schemeClr val="tx1"/>
                      </a:solidFill>
                      <a:effectLst/>
                      <a:latin typeface="Cambria Math" panose="02040503050406030204" pitchFamily="18" charset="0"/>
                      <a:ea typeface="+mn-ea"/>
                      <a:cs typeface="+mn-cs"/>
                    </a:rPr>
                    <m:t>𝐴</m:t>
                  </m:r>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𝑃</m:t>
                      </m:r>
                    </m:e>
                    <m:sub>
                      <m:r>
                        <a:rPr lang="en-US" sz="1100" b="0" i="1">
                          <a:solidFill>
                            <a:schemeClr val="tx1"/>
                          </a:solidFill>
                          <a:effectLst/>
                          <a:latin typeface="Cambria Math" panose="02040503050406030204" pitchFamily="18" charset="0"/>
                          <a:ea typeface="+mn-ea"/>
                          <a:cs typeface="+mn-cs"/>
                        </a:rPr>
                        <m:t>𝑧</m:t>
                      </m:r>
                    </m:sub>
                  </m:sSub>
                </m:oMath>
              </a14:m>
              <a:r>
                <a:rPr lang="en-US" sz="1100"/>
                <a:t> =</a:t>
              </a:r>
            </a:p>
          </xdr:txBody>
        </xdr:sp>
      </mc:Choice>
      <mc:Fallback xmlns="">
        <xdr:sp macro="" textlink="">
          <xdr:nvSpPr>
            <xdr:cNvPr id="5" name="TextBox 4">
              <a:extLst>
                <a:ext uri="{FF2B5EF4-FFF2-40B4-BE49-F238E27FC236}">
                  <a16:creationId xmlns:a16="http://schemas.microsoft.com/office/drawing/2014/main" id="{9C9B0310-69CE-428C-AF76-1F32725C3504}"/>
                </a:ext>
              </a:extLst>
            </xdr:cNvPr>
            <xdr:cNvSpPr txBox="1"/>
          </xdr:nvSpPr>
          <xdr:spPr>
            <a:xfrm>
              <a:off x="1820333" y="24934334"/>
              <a:ext cx="1117600" cy="194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000" b="0" i="0">
                  <a:latin typeface="Cambria Math" panose="02040503050406030204" pitchFamily="18" charset="0"/>
                </a:rPr>
                <a:t>𝑊= </a:t>
              </a:r>
              <a:r>
                <a:rPr lang="el-GR" sz="1100" b="0" i="0">
                  <a:solidFill>
                    <a:schemeClr val="tx1"/>
                  </a:solidFill>
                  <a:effectLst/>
                  <a:latin typeface="Cambria Math" panose="02040503050406030204" pitchFamily="18" charset="0"/>
                  <a:ea typeface="+mn-ea"/>
                  <a:cs typeface="+mn-cs"/>
                </a:rPr>
                <a:t>Σ</a:t>
              </a:r>
              <a:r>
                <a:rPr lang="en-US" sz="1100" b="0" i="0">
                  <a:solidFill>
                    <a:schemeClr val="tx1"/>
                  </a:solidFill>
                  <a:effectLst/>
                  <a:latin typeface="Cambria Math" panose="02040503050406030204" pitchFamily="18" charset="0"/>
                  <a:ea typeface="+mn-ea"/>
                  <a:cs typeface="+mn-cs"/>
                </a:rPr>
                <a:t>𝐴∗𝑃_𝑧</a:t>
              </a:r>
              <a:r>
                <a:rPr lang="en-US" sz="1100"/>
                <a:t> =</a:t>
              </a:r>
            </a:p>
          </xdr:txBody>
        </xdr:sp>
      </mc:Fallback>
    </mc:AlternateContent>
    <xdr:clientData/>
  </xdr:oneCellAnchor>
  <xdr:oneCellAnchor>
    <xdr:from>
      <xdr:col>8</xdr:col>
      <xdr:colOff>90592</xdr:colOff>
      <xdr:row>306</xdr:row>
      <xdr:rowOff>26183</xdr:rowOff>
    </xdr:from>
    <xdr:ext cx="1060873" cy="169213"/>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43958BB0-F6AC-4228-9A60-61D091DE3C73}"/>
                </a:ext>
              </a:extLst>
            </xdr:cNvPr>
            <xdr:cNvSpPr txBox="1"/>
          </xdr:nvSpPr>
          <xdr:spPr>
            <a:xfrm>
              <a:off x="1597659" y="44687850"/>
              <a:ext cx="1060873" cy="1692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14:m>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𝑠h𝑎𝑓𝑡</m:t>
                      </m:r>
                    </m:sub>
                  </m:sSub>
                  <m:r>
                    <a:rPr lang="en-US" sz="1000" b="0" i="1">
                      <a:latin typeface="Cambria Math" panose="02040503050406030204" pitchFamily="18" charset="0"/>
                    </a:rPr>
                    <m:t>= </m:t>
                  </m:r>
                  <m:r>
                    <a:rPr lang="en-US" sz="1000" b="0" i="1">
                      <a:latin typeface="Cambria Math" panose="02040503050406030204" pitchFamily="18" charset="0"/>
                      <a:ea typeface="Cambria Math" panose="02040503050406030204" pitchFamily="18" charset="0"/>
                    </a:rPr>
                    <m:t>𝜋</m:t>
                  </m:r>
                  <m:sSup>
                    <m:sSupPr>
                      <m:ctrlPr>
                        <a:rPr lang="en-US" sz="1000" b="0" i="1">
                          <a:latin typeface="Cambria Math" panose="02040503050406030204" pitchFamily="18" charset="0"/>
                          <a:ea typeface="Cambria Math" panose="02040503050406030204" pitchFamily="18" charset="0"/>
                        </a:rPr>
                      </m:ctrlPr>
                    </m:sSupPr>
                    <m:e>
                      <m:r>
                        <a:rPr lang="en-US" sz="1000" b="0" i="1">
                          <a:latin typeface="Cambria Math" panose="02040503050406030204" pitchFamily="18" charset="0"/>
                          <a:ea typeface="Cambria Math" panose="02040503050406030204" pitchFamily="18" charset="0"/>
                        </a:rPr>
                        <m:t>𝑑</m:t>
                      </m:r>
                    </m:e>
                    <m:sup>
                      <m:r>
                        <a:rPr lang="en-US" sz="1000" b="0" i="1">
                          <a:latin typeface="Cambria Math" panose="02040503050406030204" pitchFamily="18" charset="0"/>
                          <a:ea typeface="Cambria Math" panose="02040503050406030204" pitchFamily="18" charset="0"/>
                        </a:rPr>
                        <m:t>2</m:t>
                      </m:r>
                    </m:sup>
                  </m:sSup>
                  <m:r>
                    <a:rPr lang="en-US" sz="1000" b="0" i="1">
                      <a:latin typeface="Cambria Math" panose="02040503050406030204" pitchFamily="18" charset="0"/>
                      <a:ea typeface="Cambria Math" panose="02040503050406030204" pitchFamily="18" charset="0"/>
                    </a:rPr>
                    <m:t>/4</m:t>
                  </m:r>
                </m:oMath>
              </a14:m>
              <a:r>
                <a:rPr lang="en-US" sz="1000"/>
                <a:t> =</a:t>
              </a:r>
            </a:p>
          </xdr:txBody>
        </xdr:sp>
      </mc:Choice>
      <mc:Fallback xmlns="">
        <xdr:sp macro="" textlink="">
          <xdr:nvSpPr>
            <xdr:cNvPr id="7" name="TextBox 6">
              <a:extLst>
                <a:ext uri="{FF2B5EF4-FFF2-40B4-BE49-F238E27FC236}">
                  <a16:creationId xmlns:a16="http://schemas.microsoft.com/office/drawing/2014/main" id="{43958BB0-F6AC-4228-9A60-61D091DE3C73}"/>
                </a:ext>
              </a:extLst>
            </xdr:cNvPr>
            <xdr:cNvSpPr txBox="1"/>
          </xdr:nvSpPr>
          <xdr:spPr>
            <a:xfrm>
              <a:off x="1597659" y="44687850"/>
              <a:ext cx="1060873" cy="1692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r>
                <a:rPr lang="en-US" sz="1000" b="0" i="0">
                  <a:latin typeface="Cambria Math" panose="02040503050406030204" pitchFamily="18" charset="0"/>
                </a:rPr>
                <a:t>𝐴_𝑠ℎ𝑎𝑓𝑡= </a:t>
              </a:r>
              <a:r>
                <a:rPr lang="en-US" sz="1000" b="0" i="0">
                  <a:latin typeface="Cambria Math" panose="02040503050406030204" pitchFamily="18" charset="0"/>
                  <a:ea typeface="Cambria Math" panose="02040503050406030204" pitchFamily="18" charset="0"/>
                </a:rPr>
                <a:t>𝜋𝑑^2/4</a:t>
              </a:r>
              <a:r>
                <a:rPr lang="en-US" sz="1000"/>
                <a:t> =</a:t>
              </a:r>
            </a:p>
          </xdr:txBody>
        </xdr:sp>
      </mc:Fallback>
    </mc:AlternateContent>
    <xdr:clientData/>
  </xdr:oneCellAnchor>
  <xdr:oneCellAnchor>
    <xdr:from>
      <xdr:col>9</xdr:col>
      <xdr:colOff>110067</xdr:colOff>
      <xdr:row>307</xdr:row>
      <xdr:rowOff>16933</xdr:rowOff>
    </xdr:from>
    <xdr:ext cx="838200" cy="194734"/>
    <mc:AlternateContent xmlns:mc="http://schemas.openxmlformats.org/markup-compatibility/2006" xmlns:a14="http://schemas.microsoft.com/office/drawing/2010/main">
      <mc:Choice Requires="a14">
        <xdr:sp macro="" textlink="">
          <xdr:nvSpPr>
            <xdr:cNvPr id="63" name="TextBox 62">
              <a:extLst>
                <a:ext uri="{FF2B5EF4-FFF2-40B4-BE49-F238E27FC236}">
                  <a16:creationId xmlns:a16="http://schemas.microsoft.com/office/drawing/2014/main" id="{88049F8B-4E85-40F0-B7D7-F5572784DDF3}"/>
                </a:ext>
              </a:extLst>
            </xdr:cNvPr>
            <xdr:cNvSpPr txBox="1"/>
          </xdr:nvSpPr>
          <xdr:spPr>
            <a:xfrm>
              <a:off x="1803400" y="44873333"/>
              <a:ext cx="838200" cy="194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14:m>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𝑃</m:t>
                      </m:r>
                    </m:e>
                    <m:sub>
                      <m:r>
                        <a:rPr lang="en-US" sz="1000" b="0" i="1">
                          <a:latin typeface="Cambria Math" panose="02040503050406030204" pitchFamily="18" charset="0"/>
                        </a:rPr>
                        <m:t>𝑠h𝑎𝑓𝑡</m:t>
                      </m:r>
                    </m:sub>
                  </m:sSub>
                  <m:r>
                    <a:rPr lang="en-US" sz="1000" b="0" i="1">
                      <a:latin typeface="Cambria Math" panose="02040503050406030204" pitchFamily="18" charset="0"/>
                    </a:rPr>
                    <m:t>= </m:t>
                  </m:r>
                  <m:r>
                    <a:rPr lang="en-US" sz="1000" b="0" i="1">
                      <a:latin typeface="Cambria Math" panose="02040503050406030204" pitchFamily="18" charset="0"/>
                      <a:ea typeface="Cambria Math" panose="02040503050406030204" pitchFamily="18" charset="0"/>
                    </a:rPr>
                    <m:t>𝜋</m:t>
                  </m:r>
                  <m:r>
                    <a:rPr lang="en-US" sz="1000" b="0" i="1">
                      <a:latin typeface="Cambria Math" panose="02040503050406030204" pitchFamily="18" charset="0"/>
                      <a:ea typeface="Cambria Math" panose="02040503050406030204" pitchFamily="18" charset="0"/>
                    </a:rPr>
                    <m:t>𝑑</m:t>
                  </m:r>
                </m:oMath>
              </a14:m>
              <a:r>
                <a:rPr lang="en-US" sz="1000"/>
                <a:t> =</a:t>
              </a:r>
            </a:p>
          </xdr:txBody>
        </xdr:sp>
      </mc:Choice>
      <mc:Fallback xmlns="">
        <xdr:sp macro="" textlink="">
          <xdr:nvSpPr>
            <xdr:cNvPr id="63" name="TextBox 62">
              <a:extLst>
                <a:ext uri="{FF2B5EF4-FFF2-40B4-BE49-F238E27FC236}">
                  <a16:creationId xmlns:a16="http://schemas.microsoft.com/office/drawing/2014/main" id="{88049F8B-4E85-40F0-B7D7-F5572784DDF3}"/>
                </a:ext>
              </a:extLst>
            </xdr:cNvPr>
            <xdr:cNvSpPr txBox="1"/>
          </xdr:nvSpPr>
          <xdr:spPr>
            <a:xfrm>
              <a:off x="1803400" y="44873333"/>
              <a:ext cx="838200" cy="194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000" b="0" i="0">
                  <a:latin typeface="Cambria Math" panose="02040503050406030204" pitchFamily="18" charset="0"/>
                </a:rPr>
                <a:t>𝑃_𝑠ℎ𝑎𝑓𝑡= </a:t>
              </a:r>
              <a:r>
                <a:rPr lang="en-US" sz="1000" b="0" i="0">
                  <a:latin typeface="Cambria Math" panose="02040503050406030204" pitchFamily="18" charset="0"/>
                  <a:ea typeface="Cambria Math" panose="02040503050406030204" pitchFamily="18" charset="0"/>
                </a:rPr>
                <a:t>𝜋𝑑</a:t>
              </a:r>
              <a:r>
                <a:rPr lang="en-US" sz="1000"/>
                <a:t> =</a:t>
              </a:r>
            </a:p>
          </xdr:txBody>
        </xdr:sp>
      </mc:Fallback>
    </mc:AlternateContent>
    <xdr:clientData/>
  </xdr:oneCellAnchor>
  <xdr:oneCellAnchor>
    <xdr:from>
      <xdr:col>7</xdr:col>
      <xdr:colOff>148246</xdr:colOff>
      <xdr:row>115</xdr:row>
      <xdr:rowOff>10897</xdr:rowOff>
    </xdr:from>
    <xdr:ext cx="1676399" cy="183836"/>
    <mc:AlternateContent xmlns:mc="http://schemas.openxmlformats.org/markup-compatibility/2006" xmlns:a14="http://schemas.microsoft.com/office/drawing/2010/main">
      <mc:Choice Requires="a14">
        <xdr:sp macro="" textlink="">
          <xdr:nvSpPr>
            <xdr:cNvPr id="65" name="TextBox 64">
              <a:extLst>
                <a:ext uri="{FF2B5EF4-FFF2-40B4-BE49-F238E27FC236}">
                  <a16:creationId xmlns:a16="http://schemas.microsoft.com/office/drawing/2014/main" id="{5F30B2FB-C085-4B84-8702-00E27D77D21C}"/>
                </a:ext>
              </a:extLst>
            </xdr:cNvPr>
            <xdr:cNvSpPr txBox="1"/>
          </xdr:nvSpPr>
          <xdr:spPr>
            <a:xfrm>
              <a:off x="1469046" y="23184164"/>
              <a:ext cx="1676399" cy="1838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𝑃</m:t>
                      </m:r>
                    </m:e>
                    <m:sub>
                      <m:r>
                        <a:rPr lang="en-US" sz="1000" b="0" i="1">
                          <a:latin typeface="Cambria Math" panose="02040503050406030204" pitchFamily="18" charset="0"/>
                        </a:rPr>
                        <m:t>𝑧</m:t>
                      </m:r>
                    </m:sub>
                  </m:sSub>
                  <m:r>
                    <a:rPr lang="en-US" sz="1000" b="0" i="1">
                      <a:latin typeface="Cambria Math" panose="02040503050406030204" pitchFamily="18" charset="0"/>
                    </a:rPr>
                    <m:t>=0.00256 </m:t>
                  </m:r>
                  <m:sSub>
                    <m:sSubPr>
                      <m:ctrlPr>
                        <a:rPr lang="en-US" sz="1000" b="0" i="1">
                          <a:latin typeface="Cambria Math" panose="02040503050406030204" pitchFamily="18" charset="0"/>
                        </a:rPr>
                      </m:ctrlPr>
                    </m:sSubPr>
                    <m:e>
                      <m:r>
                        <a:rPr lang="en-US" sz="1000" b="0" i="1">
                          <a:latin typeface="Cambria Math" panose="02040503050406030204" pitchFamily="18" charset="0"/>
                        </a:rPr>
                        <m:t>𝐾</m:t>
                      </m:r>
                    </m:e>
                    <m:sub>
                      <m:r>
                        <a:rPr lang="en-US" sz="1000" b="0" i="1">
                          <a:latin typeface="Cambria Math" panose="02040503050406030204" pitchFamily="18" charset="0"/>
                        </a:rPr>
                        <m:t>𝑧</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𝐾</m:t>
                      </m:r>
                    </m:e>
                    <m:sub>
                      <m:r>
                        <a:rPr lang="en-US" sz="1000" b="0" i="1">
                          <a:latin typeface="Cambria Math" panose="02040503050406030204" pitchFamily="18" charset="0"/>
                        </a:rPr>
                        <m:t>𝑑</m:t>
                      </m:r>
                    </m:sub>
                  </m:sSub>
                  <m:r>
                    <a:rPr lang="en-US" sz="1000" b="0" i="1">
                      <a:latin typeface="Cambria Math" panose="02040503050406030204" pitchFamily="18" charset="0"/>
                    </a:rPr>
                    <m:t>𝐺</m:t>
                  </m:r>
                  <m:sSup>
                    <m:sSupPr>
                      <m:ctrlPr>
                        <a:rPr lang="en-US" sz="1000" b="0" i="1">
                          <a:latin typeface="Cambria Math" panose="02040503050406030204" pitchFamily="18" charset="0"/>
                        </a:rPr>
                      </m:ctrlPr>
                    </m:sSupPr>
                    <m:e>
                      <m:r>
                        <a:rPr lang="en-US" sz="1000" b="0" i="1">
                          <a:latin typeface="Cambria Math" panose="02040503050406030204" pitchFamily="18" charset="0"/>
                        </a:rPr>
                        <m:t>𝑉</m:t>
                      </m:r>
                    </m:e>
                    <m:sup>
                      <m:r>
                        <a:rPr lang="en-US" sz="1000" b="0" i="1">
                          <a:latin typeface="Cambria Math" panose="02040503050406030204" pitchFamily="18" charset="0"/>
                        </a:rPr>
                        <m:t>2</m:t>
                      </m:r>
                    </m:sup>
                  </m:sSup>
                  <m:sSub>
                    <m:sSubPr>
                      <m:ctrlPr>
                        <a:rPr lang="en-US" sz="1000" b="0" i="1">
                          <a:latin typeface="Cambria Math" panose="02040503050406030204" pitchFamily="18" charset="0"/>
                        </a:rPr>
                      </m:ctrlPr>
                    </m:sSubPr>
                    <m:e>
                      <m:r>
                        <a:rPr lang="en-US" sz="1000" b="0" i="1">
                          <a:latin typeface="Cambria Math" panose="02040503050406030204" pitchFamily="18" charset="0"/>
                        </a:rPr>
                        <m:t>𝐶</m:t>
                      </m:r>
                    </m:e>
                    <m:sub>
                      <m:r>
                        <a:rPr lang="en-US" sz="1000" b="0" i="1">
                          <a:latin typeface="Cambria Math" panose="02040503050406030204" pitchFamily="18" charset="0"/>
                        </a:rPr>
                        <m:t>𝑑</m:t>
                      </m:r>
                    </m:sub>
                  </m:sSub>
                </m:oMath>
              </a14:m>
              <a:r>
                <a:rPr lang="en-US" sz="1100"/>
                <a:t> =</a:t>
              </a:r>
            </a:p>
          </xdr:txBody>
        </xdr:sp>
      </mc:Choice>
      <mc:Fallback xmlns="">
        <xdr:sp macro="" textlink="">
          <xdr:nvSpPr>
            <xdr:cNvPr id="65" name="TextBox 64">
              <a:extLst>
                <a:ext uri="{FF2B5EF4-FFF2-40B4-BE49-F238E27FC236}">
                  <a16:creationId xmlns:a16="http://schemas.microsoft.com/office/drawing/2014/main" id="{5F30B2FB-C085-4B84-8702-00E27D77D21C}"/>
                </a:ext>
              </a:extLst>
            </xdr:cNvPr>
            <xdr:cNvSpPr txBox="1"/>
          </xdr:nvSpPr>
          <xdr:spPr>
            <a:xfrm>
              <a:off x="1469046" y="23184164"/>
              <a:ext cx="1676399" cy="1838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000" b="0" i="0">
                  <a:latin typeface="Cambria Math" panose="02040503050406030204" pitchFamily="18" charset="0"/>
                </a:rPr>
                <a:t>𝑃_𝑧=0.00256 𝐾_𝑧 𝐾_𝑑 𝐺𝑉^2 𝐶_𝑑</a:t>
              </a:r>
              <a:r>
                <a:rPr lang="en-US" sz="1100"/>
                <a:t> =</a:t>
              </a:r>
            </a:p>
          </xdr:txBody>
        </xdr:sp>
      </mc:Fallback>
    </mc:AlternateContent>
    <xdr:clientData/>
  </xdr:oneCellAnchor>
  <xdr:twoCellAnchor>
    <xdr:from>
      <xdr:col>22</xdr:col>
      <xdr:colOff>83820</xdr:colOff>
      <xdr:row>57</xdr:row>
      <xdr:rowOff>83820</xdr:rowOff>
    </xdr:from>
    <xdr:to>
      <xdr:col>23</xdr:col>
      <xdr:colOff>45720</xdr:colOff>
      <xdr:row>58</xdr:row>
      <xdr:rowOff>30480</xdr:rowOff>
    </xdr:to>
    <xdr:sp macro="" textlink="">
      <xdr:nvSpPr>
        <xdr:cNvPr id="8" name="Oval 7">
          <a:extLst>
            <a:ext uri="{FF2B5EF4-FFF2-40B4-BE49-F238E27FC236}">
              <a16:creationId xmlns:a16="http://schemas.microsoft.com/office/drawing/2014/main" id="{FD9B77EB-1230-458F-929C-87DA53DC9696}"/>
            </a:ext>
          </a:extLst>
        </xdr:cNvPr>
        <xdr:cNvSpPr/>
      </xdr:nvSpPr>
      <xdr:spPr>
        <a:xfrm>
          <a:off x="4130040" y="12565380"/>
          <a:ext cx="144780" cy="1447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45720</xdr:colOff>
      <xdr:row>58</xdr:row>
      <xdr:rowOff>76200</xdr:rowOff>
    </xdr:from>
    <xdr:to>
      <xdr:col>9</xdr:col>
      <xdr:colOff>45720</xdr:colOff>
      <xdr:row>58</xdr:row>
      <xdr:rowOff>76200</xdr:rowOff>
    </xdr:to>
    <xdr:cxnSp macro="">
      <xdr:nvCxnSpPr>
        <xdr:cNvPr id="10" name="Straight Arrow Connector 9">
          <a:extLst>
            <a:ext uri="{FF2B5EF4-FFF2-40B4-BE49-F238E27FC236}">
              <a16:creationId xmlns:a16="http://schemas.microsoft.com/office/drawing/2014/main" id="{481BD594-3787-481B-9B04-F3DE587FE19D}"/>
            </a:ext>
          </a:extLst>
        </xdr:cNvPr>
        <xdr:cNvCxnSpPr/>
      </xdr:nvCxnSpPr>
      <xdr:spPr>
        <a:xfrm>
          <a:off x="1348740" y="12755880"/>
          <a:ext cx="365760" cy="0"/>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15240</xdr:colOff>
      <xdr:row>58</xdr:row>
      <xdr:rowOff>76200</xdr:rowOff>
    </xdr:from>
    <xdr:to>
      <xdr:col>12</xdr:col>
      <xdr:colOff>15240</xdr:colOff>
      <xdr:row>58</xdr:row>
      <xdr:rowOff>76200</xdr:rowOff>
    </xdr:to>
    <xdr:cxnSp macro="">
      <xdr:nvCxnSpPr>
        <xdr:cNvPr id="67" name="Straight Arrow Connector 66">
          <a:extLst>
            <a:ext uri="{FF2B5EF4-FFF2-40B4-BE49-F238E27FC236}">
              <a16:creationId xmlns:a16="http://schemas.microsoft.com/office/drawing/2014/main" id="{2EBD9EF6-E622-43DD-B165-38871C91207F}"/>
            </a:ext>
          </a:extLst>
        </xdr:cNvPr>
        <xdr:cNvCxnSpPr/>
      </xdr:nvCxnSpPr>
      <xdr:spPr>
        <a:xfrm flipH="1">
          <a:off x="1866900" y="12755880"/>
          <a:ext cx="365760" cy="0"/>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167640</xdr:colOff>
      <xdr:row>46</xdr:row>
      <xdr:rowOff>120546</xdr:rowOff>
    </xdr:from>
    <xdr:to>
      <xdr:col>11</xdr:col>
      <xdr:colOff>167640</xdr:colOff>
      <xdr:row>46</xdr:row>
      <xdr:rowOff>120546</xdr:rowOff>
    </xdr:to>
    <xdr:cxnSp macro="">
      <xdr:nvCxnSpPr>
        <xdr:cNvPr id="70" name="Straight Arrow Connector 69">
          <a:extLst>
            <a:ext uri="{FF2B5EF4-FFF2-40B4-BE49-F238E27FC236}">
              <a16:creationId xmlns:a16="http://schemas.microsoft.com/office/drawing/2014/main" id="{A33D7D18-6892-4D8E-8B2D-02F227A47174}"/>
            </a:ext>
          </a:extLst>
        </xdr:cNvPr>
        <xdr:cNvCxnSpPr/>
      </xdr:nvCxnSpPr>
      <xdr:spPr>
        <a:xfrm flipH="1">
          <a:off x="1816198" y="9220584"/>
          <a:ext cx="366346" cy="0"/>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114300</xdr:colOff>
      <xdr:row>44</xdr:row>
      <xdr:rowOff>192476</xdr:rowOff>
    </xdr:from>
    <xdr:to>
      <xdr:col>9</xdr:col>
      <xdr:colOff>83500</xdr:colOff>
      <xdr:row>46</xdr:row>
      <xdr:rowOff>117318</xdr:rowOff>
    </xdr:to>
    <xdr:cxnSp macro="">
      <xdr:nvCxnSpPr>
        <xdr:cNvPr id="72" name="Connector: Elbow 71">
          <a:extLst>
            <a:ext uri="{FF2B5EF4-FFF2-40B4-BE49-F238E27FC236}">
              <a16:creationId xmlns:a16="http://schemas.microsoft.com/office/drawing/2014/main" id="{89AAE043-AEBC-40A3-9894-563F2A55F0BB}"/>
            </a:ext>
          </a:extLst>
        </xdr:cNvPr>
        <xdr:cNvCxnSpPr/>
      </xdr:nvCxnSpPr>
      <xdr:spPr>
        <a:xfrm>
          <a:off x="1213338" y="8896861"/>
          <a:ext cx="518720" cy="320495"/>
        </a:xfrm>
        <a:prstGeom prst="bentConnector3">
          <a:avLst>
            <a:gd name="adj1" fmla="val 50000"/>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48</xdr:row>
      <xdr:rowOff>45720</xdr:rowOff>
    </xdr:from>
    <xdr:to>
      <xdr:col>10</xdr:col>
      <xdr:colOff>38100</xdr:colOff>
      <xdr:row>54</xdr:row>
      <xdr:rowOff>0</xdr:rowOff>
    </xdr:to>
    <xdr:cxnSp macro="">
      <xdr:nvCxnSpPr>
        <xdr:cNvPr id="17" name="Straight Arrow Connector 16">
          <a:extLst>
            <a:ext uri="{FF2B5EF4-FFF2-40B4-BE49-F238E27FC236}">
              <a16:creationId xmlns:a16="http://schemas.microsoft.com/office/drawing/2014/main" id="{5802728C-E006-4692-8F08-68808F530A10}"/>
            </a:ext>
          </a:extLst>
        </xdr:cNvPr>
        <xdr:cNvCxnSpPr/>
      </xdr:nvCxnSpPr>
      <xdr:spPr>
        <a:xfrm flipV="1">
          <a:off x="1889760" y="10744200"/>
          <a:ext cx="0" cy="1143000"/>
        </a:xfrm>
        <a:prstGeom prst="straightConnector1">
          <a:avLst/>
        </a:prstGeom>
        <a:ln>
          <a:headEnd w="sm" len="lg"/>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54</xdr:row>
      <xdr:rowOff>0</xdr:rowOff>
    </xdr:from>
    <xdr:to>
      <xdr:col>13</xdr:col>
      <xdr:colOff>16933</xdr:colOff>
      <xdr:row>54</xdr:row>
      <xdr:rowOff>0</xdr:rowOff>
    </xdr:to>
    <xdr:cxnSp macro="">
      <xdr:nvCxnSpPr>
        <xdr:cNvPr id="20" name="Straight Connector 19">
          <a:extLst>
            <a:ext uri="{FF2B5EF4-FFF2-40B4-BE49-F238E27FC236}">
              <a16:creationId xmlns:a16="http://schemas.microsoft.com/office/drawing/2014/main" id="{FCC176FB-D29D-4AB1-AAF1-D04572FBA23E}"/>
            </a:ext>
          </a:extLst>
        </xdr:cNvPr>
        <xdr:cNvCxnSpPr/>
      </xdr:nvCxnSpPr>
      <xdr:spPr>
        <a:xfrm>
          <a:off x="1889760" y="11887200"/>
          <a:ext cx="5274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46</xdr:row>
      <xdr:rowOff>123091</xdr:rowOff>
    </xdr:from>
    <xdr:to>
      <xdr:col>10</xdr:col>
      <xdr:colOff>38100</xdr:colOff>
      <xdr:row>47</xdr:row>
      <xdr:rowOff>106679</xdr:rowOff>
    </xdr:to>
    <xdr:cxnSp macro="">
      <xdr:nvCxnSpPr>
        <xdr:cNvPr id="83" name="Straight Arrow Connector 82">
          <a:extLst>
            <a:ext uri="{FF2B5EF4-FFF2-40B4-BE49-F238E27FC236}">
              <a16:creationId xmlns:a16="http://schemas.microsoft.com/office/drawing/2014/main" id="{E8025C96-9105-411E-9BE0-9A01A6E00DA5}"/>
            </a:ext>
          </a:extLst>
        </xdr:cNvPr>
        <xdr:cNvCxnSpPr/>
      </xdr:nvCxnSpPr>
      <xdr:spPr>
        <a:xfrm>
          <a:off x="1878623" y="10486291"/>
          <a:ext cx="0" cy="182880"/>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160193</xdr:colOff>
      <xdr:row>46</xdr:row>
      <xdr:rowOff>160024</xdr:rowOff>
    </xdr:from>
    <xdr:to>
      <xdr:col>16</xdr:col>
      <xdr:colOff>160193</xdr:colOff>
      <xdr:row>47</xdr:row>
      <xdr:rowOff>143612</xdr:rowOff>
    </xdr:to>
    <xdr:cxnSp macro="">
      <xdr:nvCxnSpPr>
        <xdr:cNvPr id="86" name="Straight Arrow Connector 85">
          <a:extLst>
            <a:ext uri="{FF2B5EF4-FFF2-40B4-BE49-F238E27FC236}">
              <a16:creationId xmlns:a16="http://schemas.microsoft.com/office/drawing/2014/main" id="{BBB12105-3A51-4EF4-8CE2-4020B1C38D02}"/>
            </a:ext>
          </a:extLst>
        </xdr:cNvPr>
        <xdr:cNvCxnSpPr/>
      </xdr:nvCxnSpPr>
      <xdr:spPr>
        <a:xfrm>
          <a:off x="3034022" y="9423767"/>
          <a:ext cx="0" cy="184974"/>
        </a:xfrm>
        <a:prstGeom prst="straightConnector1">
          <a:avLst/>
        </a:prstGeom>
        <a:ln>
          <a:headEnd w="sm" len="lg"/>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153365</xdr:colOff>
      <xdr:row>48</xdr:row>
      <xdr:rowOff>14886</xdr:rowOff>
    </xdr:from>
    <xdr:to>
      <xdr:col>16</xdr:col>
      <xdr:colOff>153365</xdr:colOff>
      <xdr:row>53</xdr:row>
      <xdr:rowOff>0</xdr:rowOff>
    </xdr:to>
    <xdr:cxnSp macro="">
      <xdr:nvCxnSpPr>
        <xdr:cNvPr id="90" name="Straight Arrow Connector 89">
          <a:extLst>
            <a:ext uri="{FF2B5EF4-FFF2-40B4-BE49-F238E27FC236}">
              <a16:creationId xmlns:a16="http://schemas.microsoft.com/office/drawing/2014/main" id="{F63D365C-7A36-435A-88ED-EBFCAEC042AD}"/>
            </a:ext>
          </a:extLst>
        </xdr:cNvPr>
        <xdr:cNvCxnSpPr/>
      </xdr:nvCxnSpPr>
      <xdr:spPr>
        <a:xfrm flipV="1">
          <a:off x="3099765" y="9463686"/>
          <a:ext cx="0" cy="969364"/>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147015</xdr:colOff>
      <xdr:row>53</xdr:row>
      <xdr:rowOff>0</xdr:rowOff>
    </xdr:from>
    <xdr:to>
      <xdr:col>19</xdr:col>
      <xdr:colOff>125848</xdr:colOff>
      <xdr:row>53</xdr:row>
      <xdr:rowOff>0</xdr:rowOff>
    </xdr:to>
    <xdr:cxnSp macro="">
      <xdr:nvCxnSpPr>
        <xdr:cNvPr id="91" name="Straight Connector 90">
          <a:extLst>
            <a:ext uri="{FF2B5EF4-FFF2-40B4-BE49-F238E27FC236}">
              <a16:creationId xmlns:a16="http://schemas.microsoft.com/office/drawing/2014/main" id="{CF9A4D87-FA68-4B16-9C3E-773F1A8F17DC}"/>
            </a:ext>
          </a:extLst>
        </xdr:cNvPr>
        <xdr:cNvCxnSpPr/>
      </xdr:nvCxnSpPr>
      <xdr:spPr>
        <a:xfrm>
          <a:off x="3056470" y="11852564"/>
          <a:ext cx="5191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118533</xdr:colOff>
      <xdr:row>322</xdr:row>
      <xdr:rowOff>8466</xdr:rowOff>
    </xdr:from>
    <xdr:ext cx="1379480" cy="182614"/>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C43AB72C-D02F-4446-8B05-B122551DC678}"/>
                </a:ext>
              </a:extLst>
            </xdr:cNvPr>
            <xdr:cNvSpPr txBox="1"/>
          </xdr:nvSpPr>
          <xdr:spPr>
            <a:xfrm>
              <a:off x="2184400" y="47201666"/>
              <a:ext cx="1379480" cy="182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𝜑</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𝑀</m:t>
                        </m:r>
                      </m:e>
                      <m:sub>
                        <m:r>
                          <a:rPr lang="en-US" sz="1100" b="0" i="1">
                            <a:latin typeface="Cambria Math" panose="02040503050406030204" pitchFamily="18" charset="0"/>
                            <a:ea typeface="Cambria Math" panose="02040503050406030204" pitchFamily="18" charset="0"/>
                          </a:rPr>
                          <m:t>𝑛</m:t>
                        </m:r>
                      </m:sub>
                    </m:sSub>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𝑀</m:t>
                        </m:r>
                      </m:e>
                      <m:sub>
                        <m:r>
                          <a:rPr lang="en-US" sz="1100" b="0" i="1">
                            <a:latin typeface="Cambria Math" panose="02040503050406030204" pitchFamily="18" charset="0"/>
                            <a:ea typeface="Cambria Math" panose="02040503050406030204" pitchFamily="18" charset="0"/>
                          </a:rPr>
                          <m:t>𝑢</m:t>
                        </m:r>
                      </m:sub>
                    </m:sSub>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𝑀</m:t>
                        </m:r>
                      </m:e>
                      <m:sub>
                        <m:r>
                          <a:rPr lang="en-US" sz="1100" b="0" i="1">
                            <a:latin typeface="Cambria Math" panose="02040503050406030204" pitchFamily="18" charset="0"/>
                            <a:ea typeface="Cambria Math" panose="02040503050406030204" pitchFamily="18" charset="0"/>
                          </a:rPr>
                          <m:t>𝑎𝑝𝑝𝑙𝑖𝑒𝑑</m:t>
                        </m:r>
                      </m:sub>
                    </m:sSub>
                  </m:oMath>
                </m:oMathPara>
              </a14:m>
              <a:endParaRPr lang="en-US" sz="1100"/>
            </a:p>
          </xdr:txBody>
        </xdr:sp>
      </mc:Choice>
      <mc:Fallback xmlns="">
        <xdr:sp macro="" textlink="">
          <xdr:nvSpPr>
            <xdr:cNvPr id="9" name="TextBox 8">
              <a:extLst>
                <a:ext uri="{FF2B5EF4-FFF2-40B4-BE49-F238E27FC236}">
                  <a16:creationId xmlns:a16="http://schemas.microsoft.com/office/drawing/2014/main" id="{C43AB72C-D02F-4446-8B05-B122551DC678}"/>
                </a:ext>
              </a:extLst>
            </xdr:cNvPr>
            <xdr:cNvSpPr txBox="1"/>
          </xdr:nvSpPr>
          <xdr:spPr>
            <a:xfrm>
              <a:off x="2184400" y="47201666"/>
              <a:ext cx="1379480" cy="182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𝜑</a:t>
              </a:r>
              <a:r>
                <a:rPr lang="en-US" sz="1100" b="0" i="0">
                  <a:latin typeface="Cambria Math" panose="02040503050406030204" pitchFamily="18" charset="0"/>
                  <a:ea typeface="Cambria Math" panose="02040503050406030204" pitchFamily="18" charset="0"/>
                </a:rPr>
                <a:t>𝑀_𝑛=𝑀_𝑢≥𝑀_𝑎𝑝𝑝𝑙𝑖𝑒𝑑</a:t>
              </a:r>
              <a:endParaRPr lang="en-US" sz="1100"/>
            </a:p>
          </xdr:txBody>
        </xdr:sp>
      </mc:Fallback>
    </mc:AlternateContent>
    <xdr:clientData/>
  </xdr:oneCellAnchor>
  <xdr:twoCellAnchor editAs="oneCell">
    <xdr:from>
      <xdr:col>0</xdr:col>
      <xdr:colOff>165100</xdr:colOff>
      <xdr:row>217</xdr:row>
      <xdr:rowOff>184151</xdr:rowOff>
    </xdr:from>
    <xdr:to>
      <xdr:col>20</xdr:col>
      <xdr:colOff>31750</xdr:colOff>
      <xdr:row>243</xdr:row>
      <xdr:rowOff>0</xdr:rowOff>
    </xdr:to>
    <xdr:pic>
      <xdr:nvPicPr>
        <xdr:cNvPr id="12" name="Picture 11">
          <a:extLst>
            <a:ext uri="{FF2B5EF4-FFF2-40B4-BE49-F238E27FC236}">
              <a16:creationId xmlns:a16="http://schemas.microsoft.com/office/drawing/2014/main" id="{3D433B8D-2518-49A5-B73C-B122793763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13" t="8960" r="11100" b="8027"/>
        <a:stretch/>
      </xdr:blipFill>
      <xdr:spPr>
        <a:xfrm>
          <a:off x="165100" y="43764201"/>
          <a:ext cx="3549650" cy="4933949"/>
        </a:xfrm>
        <a:prstGeom prst="rect">
          <a:avLst/>
        </a:prstGeom>
      </xdr:spPr>
    </xdr:pic>
    <xdr:clientData/>
  </xdr:twoCellAnchor>
  <xdr:twoCellAnchor editAs="oneCell">
    <xdr:from>
      <xdr:col>0</xdr:col>
      <xdr:colOff>165100</xdr:colOff>
      <xdr:row>244</xdr:row>
      <xdr:rowOff>31750</xdr:rowOff>
    </xdr:from>
    <xdr:to>
      <xdr:col>20</xdr:col>
      <xdr:colOff>31750</xdr:colOff>
      <xdr:row>269</xdr:row>
      <xdr:rowOff>19050</xdr:rowOff>
    </xdr:to>
    <xdr:pic>
      <xdr:nvPicPr>
        <xdr:cNvPr id="13" name="Picture 12">
          <a:extLst>
            <a:ext uri="{FF2B5EF4-FFF2-40B4-BE49-F238E27FC236}">
              <a16:creationId xmlns:a16="http://schemas.microsoft.com/office/drawing/2014/main" id="{C3476BD3-0C55-438F-AC18-F0607BE6E75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10" t="8919" r="11103" b="8494"/>
        <a:stretch/>
      </xdr:blipFill>
      <xdr:spPr>
        <a:xfrm>
          <a:off x="165100" y="48926750"/>
          <a:ext cx="3549650" cy="4908550"/>
        </a:xfrm>
        <a:prstGeom prst="rect">
          <a:avLst/>
        </a:prstGeom>
      </xdr:spPr>
    </xdr:pic>
    <xdr:clientData/>
  </xdr:twoCellAnchor>
  <xdr:oneCellAnchor>
    <xdr:from>
      <xdr:col>0</xdr:col>
      <xdr:colOff>146050</xdr:colOff>
      <xdr:row>272</xdr:row>
      <xdr:rowOff>31750</xdr:rowOff>
    </xdr:from>
    <xdr:ext cx="3556001" cy="4927600"/>
    <xdr:pic>
      <xdr:nvPicPr>
        <xdr:cNvPr id="80" name="Picture 79">
          <a:extLst>
            <a:ext uri="{FF2B5EF4-FFF2-40B4-BE49-F238E27FC236}">
              <a16:creationId xmlns:a16="http://schemas.microsoft.com/office/drawing/2014/main" id="{4707E393-B973-4C43-80F2-C4C67FBA884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167" t="8681" r="11408" b="8413"/>
        <a:stretch/>
      </xdr:blipFill>
      <xdr:spPr>
        <a:xfrm>
          <a:off x="146050" y="57391300"/>
          <a:ext cx="3556001" cy="4927600"/>
        </a:xfrm>
        <a:prstGeom prst="rect">
          <a:avLst/>
        </a:prstGeom>
      </xdr:spPr>
    </xdr:pic>
    <xdr:clientData/>
  </xdr:oneCellAnchor>
  <xdr:twoCellAnchor>
    <xdr:from>
      <xdr:col>10</xdr:col>
      <xdr:colOff>100330</xdr:colOff>
      <xdr:row>58</xdr:row>
      <xdr:rowOff>152400</xdr:rowOff>
    </xdr:from>
    <xdr:to>
      <xdr:col>15</xdr:col>
      <xdr:colOff>31750</xdr:colOff>
      <xdr:row>58</xdr:row>
      <xdr:rowOff>152400</xdr:rowOff>
    </xdr:to>
    <xdr:cxnSp macro="">
      <xdr:nvCxnSpPr>
        <xdr:cNvPr id="14" name="Straight Connector 13">
          <a:extLst>
            <a:ext uri="{FF2B5EF4-FFF2-40B4-BE49-F238E27FC236}">
              <a16:creationId xmlns:a16="http://schemas.microsoft.com/office/drawing/2014/main" id="{86327BF3-82E1-4E3E-8A9B-79DDA25F20C2}"/>
            </a:ext>
          </a:extLst>
        </xdr:cNvPr>
        <xdr:cNvCxnSpPr/>
      </xdr:nvCxnSpPr>
      <xdr:spPr>
        <a:xfrm>
          <a:off x="1941830" y="11569700"/>
          <a:ext cx="85217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xdr:colOff>
      <xdr:row>58</xdr:row>
      <xdr:rowOff>152400</xdr:rowOff>
    </xdr:from>
    <xdr:to>
      <xdr:col>8</xdr:col>
      <xdr:colOff>157480</xdr:colOff>
      <xdr:row>58</xdr:row>
      <xdr:rowOff>152400</xdr:rowOff>
    </xdr:to>
    <xdr:cxnSp macro="">
      <xdr:nvCxnSpPr>
        <xdr:cNvPr id="82" name="Straight Connector 81">
          <a:extLst>
            <a:ext uri="{FF2B5EF4-FFF2-40B4-BE49-F238E27FC236}">
              <a16:creationId xmlns:a16="http://schemas.microsoft.com/office/drawing/2014/main" id="{8FBB1ABB-E00B-4617-AFDA-7732814B2D61}"/>
            </a:ext>
          </a:extLst>
        </xdr:cNvPr>
        <xdr:cNvCxnSpPr/>
      </xdr:nvCxnSpPr>
      <xdr:spPr>
        <a:xfrm>
          <a:off x="779780" y="11569700"/>
          <a:ext cx="8509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52070</xdr:colOff>
      <xdr:row>58</xdr:row>
      <xdr:rowOff>160020</xdr:rowOff>
    </xdr:from>
    <xdr:to>
      <xdr:col>14</xdr:col>
      <xdr:colOff>52070</xdr:colOff>
      <xdr:row>59</xdr:row>
      <xdr:rowOff>175260</xdr:rowOff>
    </xdr:to>
    <xdr:cxnSp macro="">
      <xdr:nvCxnSpPr>
        <xdr:cNvPr id="84" name="Straight Arrow Connector 83">
          <a:extLst>
            <a:ext uri="{FF2B5EF4-FFF2-40B4-BE49-F238E27FC236}">
              <a16:creationId xmlns:a16="http://schemas.microsoft.com/office/drawing/2014/main" id="{D2303C83-FA0C-4579-AD32-272AF47F0DF1}"/>
            </a:ext>
          </a:extLst>
        </xdr:cNvPr>
        <xdr:cNvCxnSpPr/>
      </xdr:nvCxnSpPr>
      <xdr:spPr>
        <a:xfrm flipV="1">
          <a:off x="2612390" y="11650980"/>
          <a:ext cx="0" cy="213360"/>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53340</xdr:colOff>
      <xdr:row>59</xdr:row>
      <xdr:rowOff>167994</xdr:rowOff>
    </xdr:from>
    <xdr:to>
      <xdr:col>17</xdr:col>
      <xdr:colOff>0</xdr:colOff>
      <xdr:row>59</xdr:row>
      <xdr:rowOff>167994</xdr:rowOff>
    </xdr:to>
    <xdr:cxnSp macro="">
      <xdr:nvCxnSpPr>
        <xdr:cNvPr id="85" name="Straight Connector 84">
          <a:extLst>
            <a:ext uri="{FF2B5EF4-FFF2-40B4-BE49-F238E27FC236}">
              <a16:creationId xmlns:a16="http://schemas.microsoft.com/office/drawing/2014/main" id="{87AC766D-130D-4568-93F8-24AB736097CD}"/>
            </a:ext>
          </a:extLst>
        </xdr:cNvPr>
        <xdr:cNvCxnSpPr/>
      </xdr:nvCxnSpPr>
      <xdr:spPr>
        <a:xfrm>
          <a:off x="2631440" y="11782144"/>
          <a:ext cx="49911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14</xdr:col>
      <xdr:colOff>78740</xdr:colOff>
      <xdr:row>352</xdr:row>
      <xdr:rowOff>185420</xdr:rowOff>
    </xdr:from>
    <xdr:ext cx="1124987" cy="304827"/>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936D5B53-154D-4581-A2A1-246033248BA0}"/>
                </a:ext>
              </a:extLst>
            </xdr:cNvPr>
            <xdr:cNvSpPr txBox="1"/>
          </xdr:nvSpPr>
          <xdr:spPr>
            <a:xfrm>
              <a:off x="2629783" y="70579311"/>
              <a:ext cx="1124987" cy="3048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900" b="0" i="1">
                            <a:latin typeface="Cambria Math" panose="02040503050406030204" pitchFamily="18" charset="0"/>
                          </a:rPr>
                        </m:ctrlPr>
                      </m:sSubPr>
                      <m:e>
                        <m:r>
                          <a:rPr lang="en-US" sz="900" b="0" i="1">
                            <a:latin typeface="Cambria Math" panose="02040503050406030204" pitchFamily="18" charset="0"/>
                          </a:rPr>
                          <m:t>𝑇</m:t>
                        </m:r>
                      </m:e>
                      <m:sub>
                        <m:r>
                          <a:rPr lang="en-US" sz="900" b="0" i="1">
                            <a:latin typeface="Cambria Math" panose="02040503050406030204" pitchFamily="18" charset="0"/>
                          </a:rPr>
                          <m:t>𝑐𝑟</m:t>
                        </m:r>
                      </m:sub>
                    </m:sSub>
                    <m:r>
                      <a:rPr lang="en-US" sz="900" b="0" i="1">
                        <a:latin typeface="Cambria Math" panose="02040503050406030204" pitchFamily="18" charset="0"/>
                      </a:rPr>
                      <m:t>=0.126</m:t>
                    </m:r>
                    <m:r>
                      <a:rPr lang="en-US" sz="900" b="0" i="1">
                        <a:latin typeface="Cambria Math" panose="02040503050406030204" pitchFamily="18" charset="0"/>
                      </a:rPr>
                      <m:t>𝐾</m:t>
                    </m:r>
                    <m:r>
                      <m:rPr>
                        <m:sty m:val="p"/>
                      </m:rPr>
                      <a:rPr lang="el-GR" sz="900" b="0" i="1">
                        <a:latin typeface="Cambria Math" panose="02040503050406030204" pitchFamily="18" charset="0"/>
                      </a:rPr>
                      <m:t>λ</m:t>
                    </m:r>
                    <m:rad>
                      <m:radPr>
                        <m:degHide m:val="on"/>
                        <m:ctrlPr>
                          <a:rPr lang="el-GR" sz="900" b="0" i="1">
                            <a:latin typeface="Cambria Math" panose="02040503050406030204" pitchFamily="18" charset="0"/>
                          </a:rPr>
                        </m:ctrlPr>
                      </m:radPr>
                      <m:deg/>
                      <m:e>
                        <m:sSubSup>
                          <m:sSubSupPr>
                            <m:ctrlPr>
                              <a:rPr lang="en-US" sz="900" b="0" i="1">
                                <a:latin typeface="Cambria Math" panose="02040503050406030204" pitchFamily="18" charset="0"/>
                              </a:rPr>
                            </m:ctrlPr>
                          </m:sSubSupPr>
                          <m:e>
                            <m:r>
                              <a:rPr lang="en-US" sz="900" b="0" i="1">
                                <a:latin typeface="Cambria Math" panose="02040503050406030204" pitchFamily="18" charset="0"/>
                              </a:rPr>
                              <m:t>𝑓</m:t>
                            </m:r>
                          </m:e>
                          <m:sub>
                            <m:r>
                              <a:rPr lang="en-US" sz="900" b="0" i="1">
                                <a:latin typeface="Cambria Math" panose="02040503050406030204" pitchFamily="18" charset="0"/>
                              </a:rPr>
                              <m:t>𝑐</m:t>
                            </m:r>
                          </m:sub>
                          <m:sup>
                            <m:r>
                              <a:rPr lang="en-US" sz="900" b="0" i="1">
                                <a:latin typeface="Cambria Math" panose="02040503050406030204" pitchFamily="18" charset="0"/>
                              </a:rPr>
                              <m:t>′</m:t>
                            </m:r>
                          </m:sup>
                        </m:sSubSup>
                      </m:e>
                    </m:rad>
                    <m:f>
                      <m:fPr>
                        <m:ctrlPr>
                          <a:rPr lang="el-GR" sz="900" b="0" i="1">
                            <a:latin typeface="Cambria Math" panose="02040503050406030204" pitchFamily="18" charset="0"/>
                          </a:rPr>
                        </m:ctrlPr>
                      </m:fPr>
                      <m:num>
                        <m:sSubSup>
                          <m:sSubSupPr>
                            <m:ctrlPr>
                              <a:rPr lang="el-GR" sz="900" b="0" i="1">
                                <a:latin typeface="Cambria Math" panose="02040503050406030204" pitchFamily="18" charset="0"/>
                              </a:rPr>
                            </m:ctrlPr>
                          </m:sSubSupPr>
                          <m:e>
                            <m:r>
                              <a:rPr lang="en-US" sz="900" b="0" i="1">
                                <a:latin typeface="Cambria Math" panose="02040503050406030204" pitchFamily="18" charset="0"/>
                              </a:rPr>
                              <m:t>𝐴</m:t>
                            </m:r>
                          </m:e>
                          <m:sub>
                            <m:r>
                              <a:rPr lang="en-US" sz="900" b="0" i="1">
                                <a:latin typeface="Cambria Math" panose="02040503050406030204" pitchFamily="18" charset="0"/>
                              </a:rPr>
                              <m:t>𝑐𝑝</m:t>
                            </m:r>
                          </m:sub>
                          <m:sup>
                            <m:r>
                              <a:rPr lang="en-US" sz="900" b="0" i="1">
                                <a:latin typeface="Cambria Math" panose="02040503050406030204" pitchFamily="18" charset="0"/>
                              </a:rPr>
                              <m:t>2</m:t>
                            </m:r>
                          </m:sup>
                        </m:sSubSup>
                      </m:num>
                      <m:den>
                        <m:sSub>
                          <m:sSubPr>
                            <m:ctrlPr>
                              <a:rPr lang="el-GR" sz="900" b="0" i="1">
                                <a:latin typeface="Cambria Math" panose="02040503050406030204" pitchFamily="18" charset="0"/>
                              </a:rPr>
                            </m:ctrlPr>
                          </m:sSubPr>
                          <m:e>
                            <m:r>
                              <a:rPr lang="en-US" sz="900" b="0" i="1">
                                <a:latin typeface="Cambria Math" panose="02040503050406030204" pitchFamily="18" charset="0"/>
                              </a:rPr>
                              <m:t>𝑝</m:t>
                            </m:r>
                          </m:e>
                          <m:sub>
                            <m:r>
                              <a:rPr lang="en-US" sz="900" b="0" i="1">
                                <a:latin typeface="Cambria Math" panose="02040503050406030204" pitchFamily="18" charset="0"/>
                              </a:rPr>
                              <m:t>𝑐</m:t>
                            </m:r>
                          </m:sub>
                        </m:sSub>
                      </m:den>
                    </m:f>
                  </m:oMath>
                </m:oMathPara>
              </a14:m>
              <a:endParaRPr lang="en-US" sz="900"/>
            </a:p>
          </xdr:txBody>
        </xdr:sp>
      </mc:Choice>
      <mc:Fallback xmlns="">
        <xdr:sp macro="" textlink="">
          <xdr:nvSpPr>
            <xdr:cNvPr id="11" name="TextBox 10">
              <a:extLst>
                <a:ext uri="{FF2B5EF4-FFF2-40B4-BE49-F238E27FC236}">
                  <a16:creationId xmlns:a16="http://schemas.microsoft.com/office/drawing/2014/main" id="{936D5B53-154D-4581-A2A1-246033248BA0}"/>
                </a:ext>
              </a:extLst>
            </xdr:cNvPr>
            <xdr:cNvSpPr txBox="1"/>
          </xdr:nvSpPr>
          <xdr:spPr>
            <a:xfrm>
              <a:off x="2629783" y="70579311"/>
              <a:ext cx="1124987" cy="3048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900" b="0" i="0">
                  <a:latin typeface="Cambria Math" panose="02040503050406030204" pitchFamily="18" charset="0"/>
                </a:rPr>
                <a:t>𝑇_𝑐𝑟=0.126𝐾</a:t>
              </a:r>
              <a:r>
                <a:rPr lang="el-GR" sz="900" b="0" i="0">
                  <a:latin typeface="Cambria Math" panose="02040503050406030204" pitchFamily="18" charset="0"/>
                </a:rPr>
                <a:t>λ√(</a:t>
              </a:r>
              <a:r>
                <a:rPr lang="en-US" sz="900" b="0" i="0">
                  <a:latin typeface="Cambria Math" panose="02040503050406030204" pitchFamily="18" charset="0"/>
                </a:rPr>
                <a:t>𝑓_𝑐^′ </a:t>
              </a:r>
              <a:r>
                <a:rPr lang="el-GR" sz="900" b="0" i="0">
                  <a:latin typeface="Cambria Math" panose="02040503050406030204" pitchFamily="18" charset="0"/>
                </a:rPr>
                <a:t>)  (</a:t>
              </a:r>
              <a:r>
                <a:rPr lang="en-US" sz="900" b="0" i="0">
                  <a:latin typeface="Cambria Math" panose="02040503050406030204" pitchFamily="18" charset="0"/>
                </a:rPr>
                <a:t>𝐴</a:t>
              </a:r>
              <a:r>
                <a:rPr lang="el-GR" sz="900" b="0" i="0">
                  <a:latin typeface="Cambria Math" panose="02040503050406030204" pitchFamily="18" charset="0"/>
                </a:rPr>
                <a:t>_</a:t>
              </a:r>
              <a:r>
                <a:rPr lang="en-US" sz="900" b="0" i="0">
                  <a:latin typeface="Cambria Math" panose="02040503050406030204" pitchFamily="18" charset="0"/>
                </a:rPr>
                <a:t>𝑐𝑝^2</a:t>
              </a:r>
              <a:r>
                <a:rPr lang="el-GR" sz="900" b="0" i="0">
                  <a:latin typeface="Cambria Math" panose="02040503050406030204" pitchFamily="18" charset="0"/>
                </a:rPr>
                <a:t>)/</a:t>
              </a:r>
              <a:r>
                <a:rPr lang="en-US" sz="900" b="0" i="0">
                  <a:latin typeface="Cambria Math" panose="02040503050406030204" pitchFamily="18" charset="0"/>
                </a:rPr>
                <a:t>𝑝</a:t>
              </a:r>
              <a:r>
                <a:rPr lang="el-GR" sz="900" b="0" i="0">
                  <a:latin typeface="Cambria Math" panose="02040503050406030204" pitchFamily="18" charset="0"/>
                </a:rPr>
                <a:t>_</a:t>
              </a:r>
              <a:r>
                <a:rPr lang="en-US" sz="900" b="0" i="0">
                  <a:latin typeface="Cambria Math" panose="02040503050406030204" pitchFamily="18" charset="0"/>
                </a:rPr>
                <a:t>𝑐 </a:t>
              </a:r>
              <a:endParaRPr lang="en-US" sz="900"/>
            </a:p>
          </xdr:txBody>
        </xdr:sp>
      </mc:Fallback>
    </mc:AlternateContent>
    <xdr:clientData/>
  </xdr:oneCellAnchor>
  <xdr:oneCellAnchor>
    <xdr:from>
      <xdr:col>17</xdr:col>
      <xdr:colOff>171450</xdr:colOff>
      <xdr:row>366</xdr:row>
      <xdr:rowOff>107950</xdr:rowOff>
    </xdr:from>
    <xdr:ext cx="666750" cy="693460"/>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195E2C98-4B63-4429-AFAF-48B34762B593}"/>
                </a:ext>
              </a:extLst>
            </xdr:cNvPr>
            <xdr:cNvSpPr txBox="1"/>
          </xdr:nvSpPr>
          <xdr:spPr>
            <a:xfrm>
              <a:off x="3302000" y="72574150"/>
              <a:ext cx="666750" cy="693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d>
                      <m:dPr>
                        <m:begChr m:val="{"/>
                        <m:endChr m:val=""/>
                        <m:ctrlPr>
                          <a:rPr lang="en-US" sz="1000" i="1">
                            <a:latin typeface="Cambria Math" panose="02040503050406030204" pitchFamily="18" charset="0"/>
                          </a:rPr>
                        </m:ctrlPr>
                      </m:dPr>
                      <m:e>
                        <m:eqArr>
                          <m:eqArrPr>
                            <m:ctrlPr>
                              <a:rPr lang="en-US" sz="1000" i="1">
                                <a:latin typeface="Cambria Math" panose="02040503050406030204" pitchFamily="18" charset="0"/>
                              </a:rPr>
                            </m:ctrlPr>
                          </m:eqArrPr>
                          <m:e>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𝑛</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𝑠</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𝑦</m:t>
                                    </m:r>
                                  </m:sub>
                                </m:sSub>
                              </m:den>
                            </m:f>
                          </m:e>
                          <m:e>
                            <m:r>
                              <a:rPr lang="en-US" sz="1000" b="0" i="1">
                                <a:latin typeface="Cambria Math" panose="02040503050406030204" pitchFamily="18" charset="0"/>
                              </a:rPr>
                              <m:t>0.9∗</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𝑠</m:t>
                                </m:r>
                              </m:sub>
                            </m:sSub>
                          </m:e>
                          <m:e>
                            <m:r>
                              <a:rPr lang="en-US" sz="1000" b="0" i="1">
                                <a:latin typeface="Cambria Math" panose="02040503050406030204" pitchFamily="18" charset="0"/>
                              </a:rPr>
                              <m:t>0.72∗</m:t>
                            </m:r>
                            <m:r>
                              <a:rPr lang="en-US" sz="1000" b="0" i="1">
                                <a:latin typeface="Cambria Math" panose="02040503050406030204" pitchFamily="18" charset="0"/>
                              </a:rPr>
                              <m:t>h</m:t>
                            </m:r>
                          </m:e>
                        </m:eqArr>
                      </m:e>
                    </m:d>
                  </m:oMath>
                </m:oMathPara>
              </a14:m>
              <a:endParaRPr lang="en-US" sz="1000"/>
            </a:p>
          </xdr:txBody>
        </xdr:sp>
      </mc:Choice>
      <mc:Fallback xmlns="">
        <xdr:sp macro="" textlink="">
          <xdr:nvSpPr>
            <xdr:cNvPr id="15" name="TextBox 14">
              <a:extLst>
                <a:ext uri="{FF2B5EF4-FFF2-40B4-BE49-F238E27FC236}">
                  <a16:creationId xmlns:a16="http://schemas.microsoft.com/office/drawing/2014/main" id="{195E2C98-4B63-4429-AFAF-48B34762B593}"/>
                </a:ext>
              </a:extLst>
            </xdr:cNvPr>
            <xdr:cNvSpPr txBox="1"/>
          </xdr:nvSpPr>
          <xdr:spPr>
            <a:xfrm>
              <a:off x="3302000" y="72574150"/>
              <a:ext cx="666750" cy="693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000" i="0">
                  <a:latin typeface="Cambria Math" panose="02040503050406030204" pitchFamily="18" charset="0"/>
                </a:rPr>
                <a:t>{█(</a:t>
              </a:r>
              <a:r>
                <a:rPr lang="en-US" sz="1000" b="0" i="0">
                  <a:latin typeface="Cambria Math" panose="02040503050406030204" pitchFamily="18" charset="0"/>
                </a:rPr>
                <a:t>𝑀_𝑛/(𝐴_𝑠 𝑓_𝑦 )@0.9∗𝑑_𝑠@0.72∗ℎ)┤</a:t>
              </a:r>
              <a:endParaRPr lang="en-US" sz="1000"/>
            </a:p>
          </xdr:txBody>
        </xdr:sp>
      </mc:Fallback>
    </mc:AlternateContent>
    <xdr:clientData/>
  </xdr:oneCellAnchor>
  <xdr:oneCellAnchor>
    <xdr:from>
      <xdr:col>10</xdr:col>
      <xdr:colOff>127000</xdr:colOff>
      <xdr:row>375</xdr:row>
      <xdr:rowOff>177800</xdr:rowOff>
    </xdr:from>
    <xdr:ext cx="700320" cy="271934"/>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CA11F50C-D6C6-4AE7-A0E6-948DD457DE6B}"/>
                </a:ext>
              </a:extLst>
            </xdr:cNvPr>
            <xdr:cNvSpPr txBox="1"/>
          </xdr:nvSpPr>
          <xdr:spPr>
            <a:xfrm>
              <a:off x="1968500" y="72840850"/>
              <a:ext cx="700320" cy="2719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𝑣</m:t>
                      </m:r>
                    </m:e>
                    <m:sub>
                      <m:r>
                        <a:rPr lang="en-US" sz="1100" b="0" i="1">
                          <a:latin typeface="Cambria Math" panose="02040503050406030204" pitchFamily="18" charset="0"/>
                        </a:rPr>
                        <m:t>𝑢</m:t>
                      </m:r>
                    </m:sub>
                  </m:sSub>
                  <m:r>
                    <a:rPr lang="en-US" sz="1100" b="0" i="1">
                      <a:latin typeface="Cambria Math" panose="02040503050406030204" pitchFamily="18" charset="0"/>
                    </a:rPr>
                    <m:t>=</m:t>
                  </m:r>
                  <m:f>
                    <m:fPr>
                      <m:ctrlPr>
                        <a:rPr lang="en-US" sz="1100" b="0" i="1">
                          <a:latin typeface="Cambria Math" panose="02040503050406030204" pitchFamily="18" charset="0"/>
                        </a:rPr>
                      </m:ctrlPr>
                    </m:fPr>
                    <m:num>
                      <m:d>
                        <m:dPr>
                          <m:begChr m:val="|"/>
                          <m:endChr m:val="|"/>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𝑉</m:t>
                              </m:r>
                            </m:e>
                            <m:sub>
                              <m:r>
                                <a:rPr lang="en-US" sz="1100" b="0" i="1">
                                  <a:latin typeface="Cambria Math" panose="02040503050406030204" pitchFamily="18" charset="0"/>
                                </a:rPr>
                                <m:t>𝑢</m:t>
                              </m:r>
                            </m:sub>
                          </m:sSub>
                        </m:e>
                      </m:d>
                    </m:num>
                    <m:den>
                      <m:r>
                        <a:rPr lang="en-US" sz="1100" b="0" i="1">
                          <a:latin typeface="Cambria Math" panose="02040503050406030204" pitchFamily="18" charset="0"/>
                        </a:rPr>
                        <m:t>ɸ</m:t>
                      </m:r>
                      <m:sSub>
                        <m:sSubPr>
                          <m:ctrlPr>
                            <a:rPr lang="en-US" sz="1100" b="0" i="1">
                              <a:latin typeface="Cambria Math" panose="02040503050406030204" pitchFamily="18" charset="0"/>
                            </a:rPr>
                          </m:ctrlPr>
                        </m:sSubPr>
                        <m:e>
                          <m:r>
                            <a:rPr lang="en-US" sz="1100" b="0" i="1">
                              <a:latin typeface="Cambria Math" panose="02040503050406030204" pitchFamily="18" charset="0"/>
                            </a:rPr>
                            <m:t>𝑏</m:t>
                          </m:r>
                        </m:e>
                        <m:sub>
                          <m:r>
                            <a:rPr lang="en-US" sz="1100" b="0" i="1">
                              <a:latin typeface="Cambria Math" panose="02040503050406030204" pitchFamily="18" charset="0"/>
                            </a:rPr>
                            <m:t>𝑣</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𝑑</m:t>
                          </m:r>
                        </m:e>
                        <m:sub>
                          <m:r>
                            <a:rPr lang="en-US" sz="1100" b="0" i="1">
                              <a:latin typeface="Cambria Math" panose="02040503050406030204" pitchFamily="18" charset="0"/>
                            </a:rPr>
                            <m:t>𝑣</m:t>
                          </m:r>
                        </m:sub>
                      </m:sSub>
                    </m:den>
                  </m:f>
                </m:oMath>
              </a14:m>
              <a:r>
                <a:rPr lang="en-US" sz="1100"/>
                <a:t>=</a:t>
              </a:r>
            </a:p>
          </xdr:txBody>
        </xdr:sp>
      </mc:Choice>
      <mc:Fallback xmlns="">
        <xdr:sp macro="" textlink="">
          <xdr:nvSpPr>
            <xdr:cNvPr id="18" name="TextBox 17">
              <a:extLst>
                <a:ext uri="{FF2B5EF4-FFF2-40B4-BE49-F238E27FC236}">
                  <a16:creationId xmlns:a16="http://schemas.microsoft.com/office/drawing/2014/main" id="{CA11F50C-D6C6-4AE7-A0E6-948DD457DE6B}"/>
                </a:ext>
              </a:extLst>
            </xdr:cNvPr>
            <xdr:cNvSpPr txBox="1"/>
          </xdr:nvSpPr>
          <xdr:spPr>
            <a:xfrm>
              <a:off x="1968500" y="72840850"/>
              <a:ext cx="700320" cy="2719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𝑣_𝑢=|𝑉_𝑢 |/(ɸ𝑏_𝑣 𝑑_𝑣 )</a:t>
              </a:r>
              <a:r>
                <a:rPr lang="en-US" sz="1100"/>
                <a:t>=</a:t>
              </a:r>
            </a:p>
          </xdr:txBody>
        </xdr:sp>
      </mc:Fallback>
    </mc:AlternateContent>
    <xdr:clientData/>
  </xdr:oneCellAnchor>
  <xdr:oneCellAnchor>
    <xdr:from>
      <xdr:col>14</xdr:col>
      <xdr:colOff>101600</xdr:colOff>
      <xdr:row>411</xdr:row>
      <xdr:rowOff>107950</xdr:rowOff>
    </xdr:from>
    <xdr:ext cx="1355371" cy="406843"/>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E9DA32EC-1785-4F49-8F7E-324294E6CB77}"/>
                </a:ext>
              </a:extLst>
            </xdr:cNvPr>
            <xdr:cNvSpPr txBox="1"/>
          </xdr:nvSpPr>
          <xdr:spPr>
            <a:xfrm>
              <a:off x="2679700" y="75133200"/>
              <a:ext cx="1355371" cy="406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900" b="0" i="1">
                            <a:latin typeface="Cambria Math" panose="02040503050406030204" pitchFamily="18" charset="0"/>
                            <a:ea typeface="Cambria Math" panose="02040503050406030204" pitchFamily="18" charset="0"/>
                          </a:rPr>
                        </m:ctrlPr>
                      </m:sSubPr>
                      <m:e>
                        <m:r>
                          <a:rPr lang="en-US" sz="900" i="1">
                            <a:latin typeface="Cambria Math" panose="02040503050406030204" pitchFamily="18" charset="0"/>
                            <a:ea typeface="Cambria Math" panose="02040503050406030204" pitchFamily="18" charset="0"/>
                          </a:rPr>
                          <m:t>𝜀</m:t>
                        </m:r>
                      </m:e>
                      <m:sub>
                        <m:r>
                          <a:rPr lang="en-US" sz="900" b="0" i="1">
                            <a:latin typeface="Cambria Math" panose="02040503050406030204" pitchFamily="18" charset="0"/>
                            <a:ea typeface="Cambria Math" panose="02040503050406030204" pitchFamily="18" charset="0"/>
                          </a:rPr>
                          <m:t>𝑠</m:t>
                        </m:r>
                      </m:sub>
                    </m:sSub>
                    <m:r>
                      <a:rPr lang="en-US" sz="900" b="0" i="1">
                        <a:latin typeface="Cambria Math" panose="02040503050406030204" pitchFamily="18" charset="0"/>
                        <a:ea typeface="Cambria Math" panose="02040503050406030204" pitchFamily="18" charset="0"/>
                      </a:rPr>
                      <m:t>=</m:t>
                    </m:r>
                    <m:f>
                      <m:fPr>
                        <m:ctrlPr>
                          <a:rPr lang="en-US" sz="900" i="1">
                            <a:latin typeface="Cambria Math" panose="02040503050406030204" pitchFamily="18" charset="0"/>
                          </a:rPr>
                        </m:ctrlPr>
                      </m:fPr>
                      <m:num>
                        <m:d>
                          <m:dPr>
                            <m:ctrlPr>
                              <a:rPr lang="en-US" sz="900" i="1">
                                <a:latin typeface="Cambria Math" panose="02040503050406030204" pitchFamily="18" charset="0"/>
                              </a:rPr>
                            </m:ctrlPr>
                          </m:dPr>
                          <m:e>
                            <m:f>
                              <m:fPr>
                                <m:ctrlPr>
                                  <a:rPr lang="en-US" sz="900" i="1">
                                    <a:latin typeface="Cambria Math" panose="02040503050406030204" pitchFamily="18" charset="0"/>
                                  </a:rPr>
                                </m:ctrlPr>
                              </m:fPr>
                              <m:num>
                                <m:d>
                                  <m:dPr>
                                    <m:begChr m:val="|"/>
                                    <m:endChr m:val="|"/>
                                    <m:ctrlPr>
                                      <a:rPr lang="en-US" sz="900" i="1">
                                        <a:latin typeface="Cambria Math" panose="02040503050406030204" pitchFamily="18" charset="0"/>
                                      </a:rPr>
                                    </m:ctrlPr>
                                  </m:dPr>
                                  <m:e>
                                    <m:sSub>
                                      <m:sSubPr>
                                        <m:ctrlPr>
                                          <a:rPr lang="en-US" sz="900" b="0" i="1">
                                            <a:latin typeface="Cambria Math" panose="02040503050406030204" pitchFamily="18" charset="0"/>
                                          </a:rPr>
                                        </m:ctrlPr>
                                      </m:sSubPr>
                                      <m:e>
                                        <m:r>
                                          <a:rPr lang="en-US" sz="900" b="0" i="1">
                                            <a:latin typeface="Cambria Math" panose="02040503050406030204" pitchFamily="18" charset="0"/>
                                          </a:rPr>
                                          <m:t>𝑀</m:t>
                                        </m:r>
                                      </m:e>
                                      <m:sub>
                                        <m:r>
                                          <a:rPr lang="en-US" sz="900" b="0" i="1">
                                            <a:latin typeface="Cambria Math" panose="02040503050406030204" pitchFamily="18" charset="0"/>
                                          </a:rPr>
                                          <m:t>𝑢</m:t>
                                        </m:r>
                                      </m:sub>
                                    </m:sSub>
                                  </m:e>
                                </m:d>
                              </m:num>
                              <m:den>
                                <m:sSub>
                                  <m:sSubPr>
                                    <m:ctrlPr>
                                      <a:rPr lang="en-US" sz="900" b="0" i="1">
                                        <a:latin typeface="Cambria Math" panose="02040503050406030204" pitchFamily="18" charset="0"/>
                                      </a:rPr>
                                    </m:ctrlPr>
                                  </m:sSubPr>
                                  <m:e>
                                    <m:r>
                                      <a:rPr lang="en-US" sz="900" b="0" i="1">
                                        <a:latin typeface="Cambria Math" panose="02040503050406030204" pitchFamily="18" charset="0"/>
                                      </a:rPr>
                                      <m:t>𝑑</m:t>
                                    </m:r>
                                  </m:e>
                                  <m:sub>
                                    <m:r>
                                      <a:rPr lang="en-US" sz="900" b="0" i="1">
                                        <a:latin typeface="Cambria Math" panose="02040503050406030204" pitchFamily="18" charset="0"/>
                                      </a:rPr>
                                      <m:t>𝑣</m:t>
                                    </m:r>
                                  </m:sub>
                                </m:sSub>
                              </m:den>
                            </m:f>
                            <m:r>
                              <a:rPr lang="en-US" sz="900" b="0" i="1">
                                <a:latin typeface="Cambria Math" panose="02040503050406030204" pitchFamily="18" charset="0"/>
                              </a:rPr>
                              <m:t>+0.5</m:t>
                            </m:r>
                            <m:sSub>
                              <m:sSubPr>
                                <m:ctrlPr>
                                  <a:rPr lang="en-US" sz="900" b="0" i="1">
                                    <a:latin typeface="Cambria Math" panose="02040503050406030204" pitchFamily="18" charset="0"/>
                                  </a:rPr>
                                </m:ctrlPr>
                              </m:sSubPr>
                              <m:e>
                                <m:r>
                                  <a:rPr lang="en-US" sz="900" b="0" i="1">
                                    <a:latin typeface="Cambria Math" panose="02040503050406030204" pitchFamily="18" charset="0"/>
                                  </a:rPr>
                                  <m:t>𝑁</m:t>
                                </m:r>
                              </m:e>
                              <m:sub>
                                <m:r>
                                  <a:rPr lang="en-US" sz="900" b="0" i="1">
                                    <a:latin typeface="Cambria Math" panose="02040503050406030204" pitchFamily="18" charset="0"/>
                                  </a:rPr>
                                  <m:t>𝑢</m:t>
                                </m:r>
                              </m:sub>
                            </m:sSub>
                            <m:r>
                              <a:rPr lang="en-US" sz="900" b="0" i="1">
                                <a:latin typeface="Cambria Math" panose="02040503050406030204" pitchFamily="18" charset="0"/>
                              </a:rPr>
                              <m:t>+</m:t>
                            </m:r>
                            <m:d>
                              <m:dPr>
                                <m:begChr m:val="|"/>
                                <m:endChr m:val="|"/>
                                <m:ctrlPr>
                                  <a:rPr lang="en-US" sz="900" b="0" i="1">
                                    <a:latin typeface="Cambria Math" panose="02040503050406030204" pitchFamily="18" charset="0"/>
                                  </a:rPr>
                                </m:ctrlPr>
                              </m:dPr>
                              <m:e>
                                <m:sSub>
                                  <m:sSubPr>
                                    <m:ctrlPr>
                                      <a:rPr lang="en-US" sz="900" b="0" i="1">
                                        <a:latin typeface="Cambria Math" panose="02040503050406030204" pitchFamily="18" charset="0"/>
                                      </a:rPr>
                                    </m:ctrlPr>
                                  </m:sSubPr>
                                  <m:e>
                                    <m:r>
                                      <a:rPr lang="en-US" sz="900" b="0" i="1">
                                        <a:latin typeface="Cambria Math" panose="02040503050406030204" pitchFamily="18" charset="0"/>
                                      </a:rPr>
                                      <m:t>𝑉</m:t>
                                    </m:r>
                                  </m:e>
                                  <m:sub>
                                    <m:r>
                                      <a:rPr lang="en-US" sz="900" b="0" i="1">
                                        <a:latin typeface="Cambria Math" panose="02040503050406030204" pitchFamily="18" charset="0"/>
                                      </a:rPr>
                                      <m:t>𝑢</m:t>
                                    </m:r>
                                  </m:sub>
                                </m:sSub>
                              </m:e>
                            </m:d>
                          </m:e>
                        </m:d>
                      </m:num>
                      <m:den>
                        <m:sSub>
                          <m:sSubPr>
                            <m:ctrlPr>
                              <a:rPr lang="en-US" sz="900" b="0" i="1">
                                <a:latin typeface="Cambria Math" panose="02040503050406030204" pitchFamily="18" charset="0"/>
                              </a:rPr>
                            </m:ctrlPr>
                          </m:sSubPr>
                          <m:e>
                            <m:r>
                              <a:rPr lang="en-US" sz="900" b="0" i="1">
                                <a:latin typeface="Cambria Math" panose="02040503050406030204" pitchFamily="18" charset="0"/>
                              </a:rPr>
                              <m:t>𝐸</m:t>
                            </m:r>
                          </m:e>
                          <m:sub>
                            <m:r>
                              <a:rPr lang="en-US" sz="900" b="0" i="1">
                                <a:latin typeface="Cambria Math" panose="02040503050406030204" pitchFamily="18" charset="0"/>
                              </a:rPr>
                              <m:t>𝑠</m:t>
                            </m:r>
                          </m:sub>
                        </m:sSub>
                        <m:sSub>
                          <m:sSubPr>
                            <m:ctrlPr>
                              <a:rPr lang="en-US" sz="900" b="0" i="1">
                                <a:latin typeface="Cambria Math" panose="02040503050406030204" pitchFamily="18" charset="0"/>
                              </a:rPr>
                            </m:ctrlPr>
                          </m:sSubPr>
                          <m:e>
                            <m:r>
                              <a:rPr lang="en-US" sz="900" b="0" i="1">
                                <a:latin typeface="Cambria Math" panose="02040503050406030204" pitchFamily="18" charset="0"/>
                              </a:rPr>
                              <m:t>𝐴</m:t>
                            </m:r>
                          </m:e>
                          <m:sub>
                            <m:r>
                              <a:rPr lang="en-US" sz="900" b="0" i="1">
                                <a:latin typeface="Cambria Math" panose="02040503050406030204" pitchFamily="18" charset="0"/>
                              </a:rPr>
                              <m:t>𝑠</m:t>
                            </m:r>
                          </m:sub>
                        </m:sSub>
                      </m:den>
                    </m:f>
                  </m:oMath>
                </m:oMathPara>
              </a14:m>
              <a:endParaRPr lang="en-US" sz="900"/>
            </a:p>
          </xdr:txBody>
        </xdr:sp>
      </mc:Choice>
      <mc:Fallback xmlns="">
        <xdr:sp macro="" textlink="">
          <xdr:nvSpPr>
            <xdr:cNvPr id="16" name="TextBox 15">
              <a:extLst>
                <a:ext uri="{FF2B5EF4-FFF2-40B4-BE49-F238E27FC236}">
                  <a16:creationId xmlns:a16="http://schemas.microsoft.com/office/drawing/2014/main" id="{E9DA32EC-1785-4F49-8F7E-324294E6CB77}"/>
                </a:ext>
              </a:extLst>
            </xdr:cNvPr>
            <xdr:cNvSpPr txBox="1"/>
          </xdr:nvSpPr>
          <xdr:spPr>
            <a:xfrm>
              <a:off x="2679700" y="75133200"/>
              <a:ext cx="1355371" cy="406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900" i="0">
                  <a:latin typeface="Cambria Math" panose="02040503050406030204" pitchFamily="18" charset="0"/>
                  <a:ea typeface="Cambria Math" panose="02040503050406030204" pitchFamily="18" charset="0"/>
                </a:rPr>
                <a:t>𝜀</a:t>
              </a:r>
              <a:r>
                <a:rPr lang="en-US" sz="900" b="0" i="0">
                  <a:latin typeface="Cambria Math" panose="02040503050406030204" pitchFamily="18" charset="0"/>
                  <a:ea typeface="Cambria Math" panose="02040503050406030204" pitchFamily="18" charset="0"/>
                </a:rPr>
                <a:t>_𝑠=</a:t>
              </a:r>
              <a:r>
                <a:rPr lang="en-US" sz="900" i="0">
                  <a:latin typeface="Cambria Math" panose="02040503050406030204" pitchFamily="18" charset="0"/>
                </a:rPr>
                <a:t>((|</a:t>
              </a:r>
              <a:r>
                <a:rPr lang="en-US" sz="900" b="0" i="0">
                  <a:latin typeface="Cambria Math" panose="02040503050406030204" pitchFamily="18" charset="0"/>
                </a:rPr>
                <a:t>𝑀_𝑢 |/𝑑_𝑣 +0.5𝑁_𝑢+|𝑉_𝑢 |))/(𝐸_𝑠 𝐴_𝑠 )</a:t>
              </a:r>
              <a:endParaRPr lang="en-US" sz="900"/>
            </a:p>
          </xdr:txBody>
        </xdr:sp>
      </mc:Fallback>
    </mc:AlternateContent>
    <xdr:clientData/>
  </xdr:oneCellAnchor>
  <xdr:oneCellAnchor>
    <xdr:from>
      <xdr:col>14</xdr:col>
      <xdr:colOff>120650</xdr:colOff>
      <xdr:row>418</xdr:row>
      <xdr:rowOff>0</xdr:rowOff>
    </xdr:from>
    <xdr:ext cx="1022459" cy="346570"/>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CB1D9B94-43A3-446F-ABBE-904F7D4C61E9}"/>
                </a:ext>
              </a:extLst>
            </xdr:cNvPr>
            <xdr:cNvSpPr txBox="1"/>
          </xdr:nvSpPr>
          <xdr:spPr>
            <a:xfrm>
              <a:off x="2698750" y="75615800"/>
              <a:ext cx="1022459" cy="346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𝛽</m:t>
                    </m:r>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4.8</m:t>
                        </m:r>
                      </m:num>
                      <m:den>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1+750</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𝜀</m:t>
                                </m:r>
                              </m:e>
                              <m:sub>
                                <m:r>
                                  <a:rPr lang="en-US" sz="1100" b="0" i="1">
                                    <a:latin typeface="Cambria Math" panose="02040503050406030204" pitchFamily="18" charset="0"/>
                                    <a:ea typeface="Cambria Math" panose="02040503050406030204" pitchFamily="18" charset="0"/>
                                  </a:rPr>
                                  <m:t>𝑠</m:t>
                                </m:r>
                              </m:sub>
                            </m:sSub>
                          </m:e>
                        </m:d>
                      </m:den>
                    </m:f>
                  </m:oMath>
                </m:oMathPara>
              </a14:m>
              <a:endParaRPr lang="en-US" sz="1100"/>
            </a:p>
          </xdr:txBody>
        </xdr:sp>
      </mc:Choice>
      <mc:Fallback xmlns="">
        <xdr:sp macro="" textlink="">
          <xdr:nvSpPr>
            <xdr:cNvPr id="19" name="TextBox 18">
              <a:extLst>
                <a:ext uri="{FF2B5EF4-FFF2-40B4-BE49-F238E27FC236}">
                  <a16:creationId xmlns:a16="http://schemas.microsoft.com/office/drawing/2014/main" id="{CB1D9B94-43A3-446F-ABBE-904F7D4C61E9}"/>
                </a:ext>
              </a:extLst>
            </xdr:cNvPr>
            <xdr:cNvSpPr txBox="1"/>
          </xdr:nvSpPr>
          <xdr:spPr>
            <a:xfrm>
              <a:off x="2698750" y="75615800"/>
              <a:ext cx="1022459" cy="346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𝛽</a:t>
              </a:r>
              <a:r>
                <a:rPr lang="en-US" sz="1100" b="0" i="0">
                  <a:latin typeface="Cambria Math" panose="02040503050406030204" pitchFamily="18" charset="0"/>
                  <a:ea typeface="Cambria Math" panose="02040503050406030204" pitchFamily="18" charset="0"/>
                </a:rPr>
                <a:t>=4.8/((1+750𝜀_𝑠 ) )</a:t>
              </a:r>
              <a:endParaRPr lang="en-US" sz="1100"/>
            </a:p>
          </xdr:txBody>
        </xdr:sp>
      </mc:Fallback>
    </mc:AlternateContent>
    <xdr:clientData/>
  </xdr:oneCellAnchor>
  <xdr:oneCellAnchor>
    <xdr:from>
      <xdr:col>16</xdr:col>
      <xdr:colOff>25400</xdr:colOff>
      <xdr:row>384</xdr:row>
      <xdr:rowOff>133350</xdr:rowOff>
    </xdr:from>
    <xdr:ext cx="1029769" cy="368884"/>
    <mc:AlternateContent xmlns:mc="http://schemas.openxmlformats.org/markup-compatibility/2006" xmlns:a14="http://schemas.microsoft.com/office/drawing/2010/main">
      <mc:Choice Requires="a14">
        <xdr:sp macro="" textlink="">
          <xdr:nvSpPr>
            <xdr:cNvPr id="87" name="TextBox 86">
              <a:extLst>
                <a:ext uri="{FF2B5EF4-FFF2-40B4-BE49-F238E27FC236}">
                  <a16:creationId xmlns:a16="http://schemas.microsoft.com/office/drawing/2014/main" id="{785F60BD-DA49-42A8-B29C-CAE6473DB616}"/>
                </a:ext>
              </a:extLst>
            </xdr:cNvPr>
            <xdr:cNvSpPr txBox="1"/>
          </xdr:nvSpPr>
          <xdr:spPr>
            <a:xfrm>
              <a:off x="2971800" y="74174350"/>
              <a:ext cx="1029769" cy="368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0.0316</m:t>
                    </m:r>
                    <m:r>
                      <m:rPr>
                        <m:sty m:val="p"/>
                      </m:rPr>
                      <a:rPr lang="el-GR" sz="1100" b="0" i="1">
                        <a:latin typeface="Cambria Math" panose="02040503050406030204" pitchFamily="18" charset="0"/>
                      </a:rPr>
                      <m:t>λ</m:t>
                    </m:r>
                    <m:rad>
                      <m:radPr>
                        <m:degHide m:val="on"/>
                        <m:ctrlPr>
                          <a:rPr lang="en-US" sz="1100" i="1">
                            <a:latin typeface="Cambria Math" panose="02040503050406030204" pitchFamily="18" charset="0"/>
                          </a:rPr>
                        </m:ctrlPr>
                      </m:radPr>
                      <m:deg/>
                      <m:e>
                        <m:sSub>
                          <m:sSubPr>
                            <m:ctrlPr>
                              <a:rPr lang="en-US" sz="1100" i="1">
                                <a:latin typeface="Cambria Math" panose="02040503050406030204" pitchFamily="18" charset="0"/>
                              </a:rPr>
                            </m:ctrlPr>
                          </m:sSubPr>
                          <m:e>
                            <m:r>
                              <a:rPr lang="en-US" sz="1100" b="0" i="1">
                                <a:latin typeface="Cambria Math" panose="02040503050406030204" pitchFamily="18" charset="0"/>
                              </a:rPr>
                              <m:t>𝑓</m:t>
                            </m:r>
                            <m:r>
                              <a:rPr lang="en-US" sz="1100" b="0" i="1">
                                <a:latin typeface="Cambria Math" panose="02040503050406030204" pitchFamily="18" charset="0"/>
                              </a:rPr>
                              <m:t>′</m:t>
                            </m:r>
                          </m:e>
                          <m:sub>
                            <m:r>
                              <a:rPr lang="en-US" sz="1100" b="0" i="1">
                                <a:latin typeface="Cambria Math" panose="02040503050406030204" pitchFamily="18" charset="0"/>
                              </a:rPr>
                              <m:t>𝑐</m:t>
                            </m:r>
                          </m:sub>
                        </m:sSub>
                      </m:e>
                    </m:rad>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𝑏</m:t>
                            </m:r>
                          </m:e>
                          <m:sub>
                            <m:r>
                              <a:rPr lang="en-US" sz="1100" b="0" i="1">
                                <a:latin typeface="Cambria Math" panose="02040503050406030204" pitchFamily="18" charset="0"/>
                              </a:rPr>
                              <m:t>𝑣</m:t>
                            </m:r>
                          </m:sub>
                        </m:sSub>
                        <m:r>
                          <a:rPr lang="en-US" sz="1100" b="0" i="1">
                            <a:latin typeface="Cambria Math" panose="02040503050406030204" pitchFamily="18" charset="0"/>
                          </a:rPr>
                          <m:t>𝑠</m:t>
                        </m:r>
                      </m:num>
                      <m:den>
                        <m:sSub>
                          <m:sSubPr>
                            <m:ctrlPr>
                              <a:rPr lang="en-US" sz="1100" i="1">
                                <a:latin typeface="Cambria Math" panose="02040503050406030204" pitchFamily="18" charset="0"/>
                              </a:rPr>
                            </m:ctrlPr>
                          </m:sSubPr>
                          <m:e>
                            <m:r>
                              <a:rPr lang="en-US" sz="1100" b="0" i="1">
                                <a:latin typeface="Cambria Math" panose="02040503050406030204" pitchFamily="18" charset="0"/>
                              </a:rPr>
                              <m:t>𝑓</m:t>
                            </m:r>
                          </m:e>
                          <m:sub>
                            <m:r>
                              <a:rPr lang="en-US" sz="1100" b="0" i="1">
                                <a:latin typeface="Cambria Math" panose="02040503050406030204" pitchFamily="18" charset="0"/>
                              </a:rPr>
                              <m:t>𝑦</m:t>
                            </m:r>
                          </m:sub>
                        </m:sSub>
                      </m:den>
                    </m:f>
                  </m:oMath>
                </m:oMathPara>
              </a14:m>
              <a:endParaRPr lang="en-US" sz="1100"/>
            </a:p>
          </xdr:txBody>
        </xdr:sp>
      </mc:Choice>
      <mc:Fallback xmlns="">
        <xdr:sp macro="" textlink="">
          <xdr:nvSpPr>
            <xdr:cNvPr id="87" name="TextBox 86">
              <a:extLst>
                <a:ext uri="{FF2B5EF4-FFF2-40B4-BE49-F238E27FC236}">
                  <a16:creationId xmlns:a16="http://schemas.microsoft.com/office/drawing/2014/main" id="{785F60BD-DA49-42A8-B29C-CAE6473DB616}"/>
                </a:ext>
              </a:extLst>
            </xdr:cNvPr>
            <xdr:cNvSpPr txBox="1"/>
          </xdr:nvSpPr>
          <xdr:spPr>
            <a:xfrm>
              <a:off x="2971800" y="74174350"/>
              <a:ext cx="1029769" cy="368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0.0316</a:t>
              </a:r>
              <a:r>
                <a:rPr lang="el-GR" sz="1100" b="0" i="0">
                  <a:latin typeface="Cambria Math" panose="02040503050406030204" pitchFamily="18" charset="0"/>
                </a:rPr>
                <a:t>λ</a:t>
              </a:r>
              <a:r>
                <a:rPr lang="en-US" sz="1100" i="0">
                  <a:latin typeface="Cambria Math" panose="02040503050406030204" pitchFamily="18" charset="0"/>
                </a:rPr>
                <a:t>√(〖</a:t>
              </a:r>
              <a:r>
                <a:rPr lang="en-US" sz="1100" b="0" i="0">
                  <a:latin typeface="Cambria Math" panose="02040503050406030204" pitchFamily="18" charset="0"/>
                </a:rPr>
                <a:t>𝑓′〗_𝑐 ) </a:t>
              </a:r>
              <a:r>
                <a:rPr lang="en-US" sz="1100" i="0">
                  <a:latin typeface="Cambria Math" panose="02040503050406030204" pitchFamily="18" charset="0"/>
                </a:rPr>
                <a:t> (</a:t>
              </a:r>
              <a:r>
                <a:rPr lang="en-US" sz="1100" b="0" i="0">
                  <a:latin typeface="Cambria Math" panose="02040503050406030204" pitchFamily="18" charset="0"/>
                </a:rPr>
                <a:t>𝑏_𝑣 𝑠)/𝑓_𝑦 </a:t>
              </a:r>
              <a:endParaRPr lang="en-US" sz="1100"/>
            </a:p>
          </xdr:txBody>
        </xdr:sp>
      </mc:Fallback>
    </mc:AlternateContent>
    <xdr:clientData/>
  </xdr:oneCellAnchor>
  <xdr:oneCellAnchor>
    <xdr:from>
      <xdr:col>14</xdr:col>
      <xdr:colOff>88900</xdr:colOff>
      <xdr:row>422</xdr:row>
      <xdr:rowOff>165100</xdr:rowOff>
    </xdr:from>
    <xdr:ext cx="1425711" cy="206660"/>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3C65AC8B-4504-48DC-8AF2-4545AB43BE08}"/>
                </a:ext>
              </a:extLst>
            </xdr:cNvPr>
            <xdr:cNvSpPr txBox="1"/>
          </xdr:nvSpPr>
          <xdr:spPr>
            <a:xfrm>
              <a:off x="2667000" y="78930500"/>
              <a:ext cx="1425711" cy="206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𝑉</m:t>
                        </m:r>
                      </m:e>
                      <m:sub>
                        <m:r>
                          <a:rPr lang="en-US" sz="1100" b="0" i="1">
                            <a:latin typeface="Cambria Math" panose="02040503050406030204" pitchFamily="18" charset="0"/>
                          </a:rPr>
                          <m:t>𝑐</m:t>
                        </m:r>
                      </m:sub>
                    </m:sSub>
                    <m:r>
                      <a:rPr lang="en-US" sz="1100" b="0" i="1">
                        <a:latin typeface="Cambria Math" panose="02040503050406030204" pitchFamily="18" charset="0"/>
                      </a:rPr>
                      <m:t>=0.0316</m:t>
                    </m:r>
                    <m:r>
                      <a:rPr lang="en-US" sz="1100" b="0" i="1">
                        <a:latin typeface="Cambria Math" panose="02040503050406030204" pitchFamily="18" charset="0"/>
                        <a:ea typeface="Cambria Math" panose="02040503050406030204" pitchFamily="18" charset="0"/>
                      </a:rPr>
                      <m:t>𝛽</m:t>
                    </m:r>
                    <m:r>
                      <m:rPr>
                        <m:sty m:val="p"/>
                      </m:rPr>
                      <a:rPr lang="el-GR" sz="1100" b="0" i="1">
                        <a:latin typeface="Cambria Math" panose="02040503050406030204" pitchFamily="18" charset="0"/>
                        <a:ea typeface="Cambria Math" panose="02040503050406030204" pitchFamily="18" charset="0"/>
                      </a:rPr>
                      <m:t>λ</m:t>
                    </m:r>
                    <m:rad>
                      <m:radPr>
                        <m:degHide m:val="on"/>
                        <m:ctrlPr>
                          <a:rPr lang="el-GR" sz="1100" b="0" i="1">
                            <a:latin typeface="Cambria Math" panose="02040503050406030204" pitchFamily="18" charset="0"/>
                            <a:ea typeface="Cambria Math" panose="02040503050406030204" pitchFamily="18" charset="0"/>
                          </a:rPr>
                        </m:ctrlPr>
                      </m:radPr>
                      <m:deg/>
                      <m:e>
                        <m:sSubSup>
                          <m:sSubSupPr>
                            <m:ctrlPr>
                              <a:rPr lang="en-US" sz="1100" b="0" i="1">
                                <a:latin typeface="Cambria Math" panose="02040503050406030204" pitchFamily="18" charset="0"/>
                                <a:ea typeface="Cambria Math" panose="02040503050406030204" pitchFamily="18" charset="0"/>
                              </a:rPr>
                            </m:ctrlPr>
                          </m:sSubSupPr>
                          <m:e>
                            <m:r>
                              <a:rPr lang="en-US" sz="1100" b="0" i="1">
                                <a:latin typeface="Cambria Math" panose="02040503050406030204" pitchFamily="18" charset="0"/>
                                <a:ea typeface="Cambria Math" panose="02040503050406030204" pitchFamily="18" charset="0"/>
                              </a:rPr>
                              <m:t>𝑓</m:t>
                            </m:r>
                          </m:e>
                          <m:sub>
                            <m:r>
                              <a:rPr lang="en-US" sz="1100" b="0" i="1">
                                <a:latin typeface="Cambria Math" panose="02040503050406030204" pitchFamily="18" charset="0"/>
                                <a:ea typeface="Cambria Math" panose="02040503050406030204" pitchFamily="18" charset="0"/>
                              </a:rPr>
                              <m:t>𝑐</m:t>
                            </m:r>
                          </m:sub>
                          <m:sup>
                            <m:r>
                              <a:rPr lang="en-US" sz="1100" b="0" i="1">
                                <a:latin typeface="Cambria Math" panose="02040503050406030204" pitchFamily="18" charset="0"/>
                                <a:ea typeface="Cambria Math" panose="02040503050406030204" pitchFamily="18" charset="0"/>
                              </a:rPr>
                              <m:t>′</m:t>
                            </m:r>
                          </m:sup>
                        </m:sSubSup>
                      </m:e>
                    </m:rad>
                    <m:sSub>
                      <m:sSubPr>
                        <m:ctrlPr>
                          <a:rPr lang="el-GR"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𝑏</m:t>
                        </m:r>
                      </m:e>
                      <m:sub>
                        <m:r>
                          <a:rPr lang="en-US" sz="1100" b="0" i="1">
                            <a:latin typeface="Cambria Math" panose="02040503050406030204" pitchFamily="18" charset="0"/>
                            <a:ea typeface="Cambria Math" panose="02040503050406030204" pitchFamily="18" charset="0"/>
                          </a:rPr>
                          <m:t>𝑣</m:t>
                        </m:r>
                      </m:sub>
                    </m:sSub>
                    <m:sSub>
                      <m:sSubPr>
                        <m:ctrlPr>
                          <a:rPr lang="el-GR"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𝑑</m:t>
                        </m:r>
                      </m:e>
                      <m:sub>
                        <m:r>
                          <a:rPr lang="en-US" sz="1100" b="0" i="1">
                            <a:latin typeface="Cambria Math" panose="02040503050406030204" pitchFamily="18" charset="0"/>
                            <a:ea typeface="Cambria Math" panose="02040503050406030204" pitchFamily="18" charset="0"/>
                          </a:rPr>
                          <m:t>𝑣</m:t>
                        </m:r>
                      </m:sub>
                    </m:sSub>
                  </m:oMath>
                </m:oMathPara>
              </a14:m>
              <a:endParaRPr lang="en-US" sz="1100"/>
            </a:p>
          </xdr:txBody>
        </xdr:sp>
      </mc:Choice>
      <mc:Fallback xmlns="">
        <xdr:sp macro="" textlink="">
          <xdr:nvSpPr>
            <xdr:cNvPr id="21" name="TextBox 20">
              <a:extLst>
                <a:ext uri="{FF2B5EF4-FFF2-40B4-BE49-F238E27FC236}">
                  <a16:creationId xmlns:a16="http://schemas.microsoft.com/office/drawing/2014/main" id="{3C65AC8B-4504-48DC-8AF2-4545AB43BE08}"/>
                </a:ext>
              </a:extLst>
            </xdr:cNvPr>
            <xdr:cNvSpPr txBox="1"/>
          </xdr:nvSpPr>
          <xdr:spPr>
            <a:xfrm>
              <a:off x="2667000" y="78930500"/>
              <a:ext cx="1425711" cy="206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𝑉_𝑐=0.0316</a:t>
              </a:r>
              <a:r>
                <a:rPr lang="en-US" sz="1100" b="0" i="0">
                  <a:latin typeface="Cambria Math" panose="02040503050406030204" pitchFamily="18" charset="0"/>
                  <a:ea typeface="Cambria Math" panose="02040503050406030204" pitchFamily="18" charset="0"/>
                </a:rPr>
                <a:t>𝛽</a:t>
              </a:r>
              <a:r>
                <a:rPr lang="el-GR" sz="1100" b="0" i="0">
                  <a:latin typeface="Cambria Math" panose="02040503050406030204" pitchFamily="18" charset="0"/>
                  <a:ea typeface="Cambria Math" panose="02040503050406030204" pitchFamily="18" charset="0"/>
                </a:rPr>
                <a:t>λ√(</a:t>
              </a:r>
              <a:r>
                <a:rPr lang="en-US" sz="1100" b="0" i="0">
                  <a:latin typeface="Cambria Math" panose="02040503050406030204" pitchFamily="18" charset="0"/>
                  <a:ea typeface="Cambria Math" panose="02040503050406030204" pitchFamily="18" charset="0"/>
                </a:rPr>
                <a:t>𝑓_𝑐^′</a:t>
              </a:r>
              <a:r>
                <a:rPr lang="el-GR" sz="1100" b="0" i="0">
                  <a:latin typeface="Cambria Math" panose="02040503050406030204" pitchFamily="18" charset="0"/>
                  <a:ea typeface="Cambria Math" panose="02040503050406030204" pitchFamily="18" charset="0"/>
                </a:rPr>
                <a:t> ) </a:t>
              </a:r>
              <a:r>
                <a:rPr lang="en-US" sz="1100" b="0" i="0">
                  <a:latin typeface="Cambria Math" panose="02040503050406030204" pitchFamily="18" charset="0"/>
                  <a:ea typeface="Cambria Math" panose="02040503050406030204" pitchFamily="18" charset="0"/>
                </a:rPr>
                <a:t>𝑏</a:t>
              </a:r>
              <a:r>
                <a:rPr lang="el-GR" sz="1100" b="0" i="0">
                  <a:latin typeface="Cambria Math" panose="02040503050406030204" pitchFamily="18" charset="0"/>
                  <a:ea typeface="Cambria Math" panose="02040503050406030204" pitchFamily="18" charset="0"/>
                </a:rPr>
                <a:t>_</a:t>
              </a:r>
              <a:r>
                <a:rPr lang="en-US" sz="1100" b="0" i="0">
                  <a:latin typeface="Cambria Math" panose="02040503050406030204" pitchFamily="18" charset="0"/>
                  <a:ea typeface="Cambria Math" panose="02040503050406030204" pitchFamily="18" charset="0"/>
                </a:rPr>
                <a:t>𝑣</a:t>
              </a:r>
              <a:r>
                <a:rPr lang="el-GR" sz="1100" b="0" i="0">
                  <a:latin typeface="Cambria Math" panose="02040503050406030204" pitchFamily="18" charset="0"/>
                  <a:ea typeface="Cambria Math" panose="02040503050406030204" pitchFamily="18" charset="0"/>
                </a:rPr>
                <a:t> </a:t>
              </a:r>
              <a:r>
                <a:rPr lang="en-US" sz="1100" b="0" i="0">
                  <a:latin typeface="Cambria Math" panose="02040503050406030204" pitchFamily="18" charset="0"/>
                  <a:ea typeface="Cambria Math" panose="02040503050406030204" pitchFamily="18" charset="0"/>
                </a:rPr>
                <a:t>𝑑</a:t>
              </a:r>
              <a:r>
                <a:rPr lang="el-GR" sz="1100" b="0" i="0">
                  <a:latin typeface="Cambria Math" panose="02040503050406030204" pitchFamily="18" charset="0"/>
                  <a:ea typeface="Cambria Math" panose="02040503050406030204" pitchFamily="18" charset="0"/>
                </a:rPr>
                <a:t>_</a:t>
              </a:r>
              <a:r>
                <a:rPr lang="en-US" sz="1100" b="0" i="0">
                  <a:latin typeface="Cambria Math" panose="02040503050406030204" pitchFamily="18" charset="0"/>
                  <a:ea typeface="Cambria Math" panose="02040503050406030204" pitchFamily="18" charset="0"/>
                </a:rPr>
                <a:t>𝑣</a:t>
              </a:r>
              <a:endParaRPr lang="en-US" sz="1100"/>
            </a:p>
          </xdr:txBody>
        </xdr:sp>
      </mc:Fallback>
    </mc:AlternateContent>
    <xdr:clientData/>
  </xdr:oneCellAnchor>
  <xdr:oneCellAnchor>
    <xdr:from>
      <xdr:col>13</xdr:col>
      <xdr:colOff>88900</xdr:colOff>
      <xdr:row>396</xdr:row>
      <xdr:rowOff>25400</xdr:rowOff>
    </xdr:from>
    <xdr:ext cx="1285415" cy="17222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3D04C8B5-8CC4-4321-989E-94FC8E90C735}"/>
                </a:ext>
              </a:extLst>
            </xdr:cNvPr>
            <xdr:cNvSpPr txBox="1"/>
          </xdr:nvSpPr>
          <xdr:spPr>
            <a:xfrm>
              <a:off x="2482850" y="77216000"/>
              <a:ext cx="128541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𝑠</m:t>
                        </m:r>
                      </m:e>
                      <m:sub>
                        <m:r>
                          <a:rPr lang="en-US" sz="1100" b="0" i="1">
                            <a:latin typeface="Cambria Math" panose="02040503050406030204" pitchFamily="18" charset="0"/>
                          </a:rPr>
                          <m:t>𝑚𝑎𝑥</m:t>
                        </m:r>
                      </m:sub>
                    </m:sSub>
                    <m:r>
                      <a:rPr lang="en-US" sz="1100" b="0" i="1">
                        <a:latin typeface="Cambria Math" panose="02040503050406030204" pitchFamily="18" charset="0"/>
                      </a:rPr>
                      <m:t>=0.8</m:t>
                    </m:r>
                    <m:sSub>
                      <m:sSubPr>
                        <m:ctrlPr>
                          <a:rPr lang="en-US" sz="1100" b="0" i="1">
                            <a:latin typeface="Cambria Math" panose="02040503050406030204" pitchFamily="18" charset="0"/>
                          </a:rPr>
                        </m:ctrlPr>
                      </m:sSubPr>
                      <m:e>
                        <m:r>
                          <a:rPr lang="en-US" sz="1100" b="0" i="1">
                            <a:latin typeface="Cambria Math" panose="02040503050406030204" pitchFamily="18" charset="0"/>
                          </a:rPr>
                          <m:t>𝑑</m:t>
                        </m:r>
                      </m:e>
                      <m:sub>
                        <m:r>
                          <a:rPr lang="en-US" sz="1100" b="0" i="1">
                            <a:latin typeface="Cambria Math" panose="02040503050406030204" pitchFamily="18" charset="0"/>
                          </a:rPr>
                          <m:t>𝑣</m:t>
                        </m:r>
                      </m:sub>
                    </m:sSub>
                    <m:r>
                      <a:rPr lang="en-US" sz="1100" b="0" i="1">
                        <a:latin typeface="Cambria Math" panose="02040503050406030204" pitchFamily="18" charset="0"/>
                        <a:ea typeface="Cambria Math" panose="02040503050406030204" pitchFamily="18" charset="0"/>
                      </a:rPr>
                      <m:t>≤24.0</m:t>
                    </m:r>
                  </m:oMath>
                </m:oMathPara>
              </a14:m>
              <a:endParaRPr lang="en-US" sz="1100"/>
            </a:p>
          </xdr:txBody>
        </xdr:sp>
      </mc:Choice>
      <mc:Fallback xmlns="">
        <xdr:sp macro="" textlink="">
          <xdr:nvSpPr>
            <xdr:cNvPr id="22" name="TextBox 21">
              <a:extLst>
                <a:ext uri="{FF2B5EF4-FFF2-40B4-BE49-F238E27FC236}">
                  <a16:creationId xmlns:a16="http://schemas.microsoft.com/office/drawing/2014/main" id="{3D04C8B5-8CC4-4321-989E-94FC8E90C735}"/>
                </a:ext>
              </a:extLst>
            </xdr:cNvPr>
            <xdr:cNvSpPr txBox="1"/>
          </xdr:nvSpPr>
          <xdr:spPr>
            <a:xfrm>
              <a:off x="2482850" y="77216000"/>
              <a:ext cx="128541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𝑠_𝑚𝑎𝑥=0.8𝑑_𝑣</a:t>
              </a:r>
              <a:r>
                <a:rPr lang="en-US" sz="1100" b="0" i="0">
                  <a:latin typeface="Cambria Math" panose="02040503050406030204" pitchFamily="18" charset="0"/>
                  <a:ea typeface="Cambria Math" panose="02040503050406030204" pitchFamily="18" charset="0"/>
                </a:rPr>
                <a:t>≤24.0</a:t>
              </a:r>
              <a:endParaRPr lang="en-US" sz="1100"/>
            </a:p>
          </xdr:txBody>
        </xdr:sp>
      </mc:Fallback>
    </mc:AlternateContent>
    <xdr:clientData/>
  </xdr:oneCellAnchor>
  <xdr:oneCellAnchor>
    <xdr:from>
      <xdr:col>13</xdr:col>
      <xdr:colOff>88900</xdr:colOff>
      <xdr:row>397</xdr:row>
      <xdr:rowOff>12700</xdr:rowOff>
    </xdr:from>
    <xdr:ext cx="1285416" cy="172227"/>
    <mc:AlternateContent xmlns:mc="http://schemas.openxmlformats.org/markup-compatibility/2006" xmlns:a14="http://schemas.microsoft.com/office/drawing/2010/main">
      <mc:Choice Requires="a14">
        <xdr:sp macro="" textlink="">
          <xdr:nvSpPr>
            <xdr:cNvPr id="89" name="TextBox 88">
              <a:extLst>
                <a:ext uri="{FF2B5EF4-FFF2-40B4-BE49-F238E27FC236}">
                  <a16:creationId xmlns:a16="http://schemas.microsoft.com/office/drawing/2014/main" id="{E2D12E35-FF27-4ED2-9ED6-91A4BDC65E91}"/>
                </a:ext>
              </a:extLst>
            </xdr:cNvPr>
            <xdr:cNvSpPr txBox="1"/>
          </xdr:nvSpPr>
          <xdr:spPr>
            <a:xfrm>
              <a:off x="2482850" y="77400150"/>
              <a:ext cx="128541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𝑠</m:t>
                        </m:r>
                      </m:e>
                      <m:sub>
                        <m:r>
                          <a:rPr lang="en-US" sz="1100" b="0" i="1">
                            <a:latin typeface="Cambria Math" panose="02040503050406030204" pitchFamily="18" charset="0"/>
                          </a:rPr>
                          <m:t>𝑚𝑎𝑥</m:t>
                        </m:r>
                      </m:sub>
                    </m:sSub>
                    <m:r>
                      <a:rPr lang="en-US" sz="1100" b="0" i="1">
                        <a:latin typeface="Cambria Math" panose="02040503050406030204" pitchFamily="18" charset="0"/>
                      </a:rPr>
                      <m:t>=0.4</m:t>
                    </m:r>
                    <m:sSub>
                      <m:sSubPr>
                        <m:ctrlPr>
                          <a:rPr lang="en-US" sz="1100" b="0" i="1">
                            <a:latin typeface="Cambria Math" panose="02040503050406030204" pitchFamily="18" charset="0"/>
                          </a:rPr>
                        </m:ctrlPr>
                      </m:sSubPr>
                      <m:e>
                        <m:r>
                          <a:rPr lang="en-US" sz="1100" b="0" i="1">
                            <a:latin typeface="Cambria Math" panose="02040503050406030204" pitchFamily="18" charset="0"/>
                          </a:rPr>
                          <m:t>𝑑</m:t>
                        </m:r>
                      </m:e>
                      <m:sub>
                        <m:r>
                          <a:rPr lang="en-US" sz="1100" b="0" i="1">
                            <a:latin typeface="Cambria Math" panose="02040503050406030204" pitchFamily="18" charset="0"/>
                          </a:rPr>
                          <m:t>𝑣</m:t>
                        </m:r>
                      </m:sub>
                    </m:sSub>
                    <m:r>
                      <a:rPr lang="en-US" sz="1100" b="0" i="1">
                        <a:latin typeface="Cambria Math" panose="02040503050406030204" pitchFamily="18" charset="0"/>
                        <a:ea typeface="Cambria Math" panose="02040503050406030204" pitchFamily="18" charset="0"/>
                      </a:rPr>
                      <m:t>≤12.0</m:t>
                    </m:r>
                  </m:oMath>
                </m:oMathPara>
              </a14:m>
              <a:endParaRPr lang="en-US" sz="1100"/>
            </a:p>
          </xdr:txBody>
        </xdr:sp>
      </mc:Choice>
      <mc:Fallback xmlns="">
        <xdr:sp macro="" textlink="">
          <xdr:nvSpPr>
            <xdr:cNvPr id="89" name="TextBox 88">
              <a:extLst>
                <a:ext uri="{FF2B5EF4-FFF2-40B4-BE49-F238E27FC236}">
                  <a16:creationId xmlns:a16="http://schemas.microsoft.com/office/drawing/2014/main" id="{E2D12E35-FF27-4ED2-9ED6-91A4BDC65E91}"/>
                </a:ext>
              </a:extLst>
            </xdr:cNvPr>
            <xdr:cNvSpPr txBox="1"/>
          </xdr:nvSpPr>
          <xdr:spPr>
            <a:xfrm>
              <a:off x="2482850" y="77400150"/>
              <a:ext cx="128541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𝑠_𝑚𝑎𝑥=0.4𝑑_𝑣</a:t>
              </a:r>
              <a:r>
                <a:rPr lang="en-US" sz="1100" b="0" i="0">
                  <a:latin typeface="Cambria Math" panose="02040503050406030204" pitchFamily="18" charset="0"/>
                  <a:ea typeface="Cambria Math" panose="02040503050406030204" pitchFamily="18" charset="0"/>
                </a:rPr>
                <a:t>≤12.0</a:t>
              </a:r>
              <a:endParaRPr lang="en-US" sz="1100"/>
            </a:p>
          </xdr:txBody>
        </xdr:sp>
      </mc:Fallback>
    </mc:AlternateContent>
    <xdr:clientData/>
  </xdr:oneCellAnchor>
  <xdr:oneCellAnchor>
    <xdr:from>
      <xdr:col>14</xdr:col>
      <xdr:colOff>121920</xdr:colOff>
      <xdr:row>354</xdr:row>
      <xdr:rowOff>129540</xdr:rowOff>
    </xdr:from>
    <xdr:ext cx="1379032" cy="409215"/>
    <mc:AlternateContent xmlns:mc="http://schemas.openxmlformats.org/markup-compatibility/2006" xmlns:a14="http://schemas.microsoft.com/office/drawing/2010/main">
      <mc:Choice Requires="a14">
        <xdr:sp macro="" textlink="">
          <xdr:nvSpPr>
            <xdr:cNvPr id="92" name="TextBox 91">
              <a:extLst>
                <a:ext uri="{FF2B5EF4-FFF2-40B4-BE49-F238E27FC236}">
                  <a16:creationId xmlns:a16="http://schemas.microsoft.com/office/drawing/2014/main" id="{DB7A4EB3-8FE9-4548-95F9-E4F46286E003}"/>
                </a:ext>
              </a:extLst>
            </xdr:cNvPr>
            <xdr:cNvSpPr txBox="1"/>
          </xdr:nvSpPr>
          <xdr:spPr>
            <a:xfrm>
              <a:off x="2682240" y="70698360"/>
              <a:ext cx="137903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panose="02040503050406030204" pitchFamily="18" charset="0"/>
                      </a:rPr>
                      <m:t>𝐾</m:t>
                    </m:r>
                    <m:r>
                      <a:rPr lang="en-US" sz="900" b="0" i="1">
                        <a:latin typeface="Cambria Math" panose="02040503050406030204" pitchFamily="18" charset="0"/>
                      </a:rPr>
                      <m:t>=</m:t>
                    </m:r>
                    <m:rad>
                      <m:radPr>
                        <m:degHide m:val="on"/>
                        <m:ctrlPr>
                          <a:rPr lang="el-GR" sz="900" b="0" i="1">
                            <a:latin typeface="Cambria Math" panose="02040503050406030204" pitchFamily="18" charset="0"/>
                          </a:rPr>
                        </m:ctrlPr>
                      </m:radPr>
                      <m:deg/>
                      <m:e>
                        <m:r>
                          <a:rPr lang="en-US" sz="900" b="0" i="1">
                            <a:latin typeface="Cambria Math" panose="02040503050406030204" pitchFamily="18" charset="0"/>
                          </a:rPr>
                          <m:t>1+</m:t>
                        </m:r>
                        <m:f>
                          <m:fPr>
                            <m:ctrlPr>
                              <a:rPr lang="en-US" sz="900" b="0" i="1">
                                <a:latin typeface="Cambria Math" panose="02040503050406030204" pitchFamily="18" charset="0"/>
                              </a:rPr>
                            </m:ctrlPr>
                          </m:fPr>
                          <m:num>
                            <m:sSub>
                              <m:sSubPr>
                                <m:ctrlPr>
                                  <a:rPr lang="en-US" sz="900" b="0" i="1">
                                    <a:latin typeface="Cambria Math" panose="02040503050406030204" pitchFamily="18" charset="0"/>
                                  </a:rPr>
                                </m:ctrlPr>
                              </m:sSubPr>
                              <m:e>
                                <m:r>
                                  <a:rPr lang="en-US" sz="900" b="0" i="1">
                                    <a:latin typeface="Cambria Math" panose="02040503050406030204" pitchFamily="18" charset="0"/>
                                  </a:rPr>
                                  <m:t>𝑓</m:t>
                                </m:r>
                              </m:e>
                              <m:sub>
                                <m:r>
                                  <a:rPr lang="en-US" sz="900" b="0" i="1">
                                    <a:latin typeface="Cambria Math" panose="02040503050406030204" pitchFamily="18" charset="0"/>
                                  </a:rPr>
                                  <m:t>𝑝𝑐</m:t>
                                </m:r>
                              </m:sub>
                            </m:sSub>
                          </m:num>
                          <m:den>
                            <m:r>
                              <a:rPr lang="en-US" sz="900" b="0" i="1">
                                <a:latin typeface="Cambria Math" panose="02040503050406030204" pitchFamily="18" charset="0"/>
                              </a:rPr>
                              <m:t>0.126</m:t>
                            </m:r>
                            <m:r>
                              <m:rPr>
                                <m:sty m:val="p"/>
                              </m:rPr>
                              <a:rPr lang="el-GR" sz="900" b="0" i="1">
                                <a:latin typeface="Cambria Math" panose="02040503050406030204" pitchFamily="18" charset="0"/>
                              </a:rPr>
                              <m:t>λ</m:t>
                            </m:r>
                            <m:rad>
                              <m:radPr>
                                <m:degHide m:val="on"/>
                                <m:ctrlPr>
                                  <a:rPr lang="el-GR" sz="900" b="0" i="1">
                                    <a:latin typeface="Cambria Math" panose="02040503050406030204" pitchFamily="18" charset="0"/>
                                  </a:rPr>
                                </m:ctrlPr>
                              </m:radPr>
                              <m:deg/>
                              <m:e>
                                <m:sSubSup>
                                  <m:sSubSupPr>
                                    <m:ctrlPr>
                                      <a:rPr lang="en-US" sz="900" b="0" i="1">
                                        <a:latin typeface="Cambria Math" panose="02040503050406030204" pitchFamily="18" charset="0"/>
                                      </a:rPr>
                                    </m:ctrlPr>
                                  </m:sSubSupPr>
                                  <m:e>
                                    <m:r>
                                      <a:rPr lang="en-US" sz="900" b="0" i="1">
                                        <a:latin typeface="Cambria Math" panose="02040503050406030204" pitchFamily="18" charset="0"/>
                                      </a:rPr>
                                      <m:t>𝑓</m:t>
                                    </m:r>
                                  </m:e>
                                  <m:sub>
                                    <m:r>
                                      <a:rPr lang="en-US" sz="900" b="0" i="1">
                                        <a:latin typeface="Cambria Math" panose="02040503050406030204" pitchFamily="18" charset="0"/>
                                      </a:rPr>
                                      <m:t>𝑐</m:t>
                                    </m:r>
                                  </m:sub>
                                  <m:sup>
                                    <m:r>
                                      <a:rPr lang="en-US" sz="900" b="0" i="1">
                                        <a:latin typeface="Cambria Math" panose="02040503050406030204" pitchFamily="18" charset="0"/>
                                      </a:rPr>
                                      <m:t>′</m:t>
                                    </m:r>
                                  </m:sup>
                                </m:sSubSup>
                              </m:e>
                            </m:rad>
                          </m:den>
                        </m:f>
                      </m:e>
                    </m:rad>
                    <m:r>
                      <a:rPr lang="en-US" sz="900" b="0" i="1">
                        <a:latin typeface="Cambria Math" panose="02040503050406030204" pitchFamily="18" charset="0"/>
                        <a:ea typeface="Cambria Math" panose="02040503050406030204" pitchFamily="18" charset="0"/>
                      </a:rPr>
                      <m:t>≤2.0</m:t>
                    </m:r>
                  </m:oMath>
                </m:oMathPara>
              </a14:m>
              <a:endParaRPr lang="en-US" sz="900"/>
            </a:p>
          </xdr:txBody>
        </xdr:sp>
      </mc:Choice>
      <mc:Fallback xmlns="">
        <xdr:sp macro="" textlink="">
          <xdr:nvSpPr>
            <xdr:cNvPr id="92" name="TextBox 91">
              <a:extLst>
                <a:ext uri="{FF2B5EF4-FFF2-40B4-BE49-F238E27FC236}">
                  <a16:creationId xmlns:a16="http://schemas.microsoft.com/office/drawing/2014/main" id="{DB7A4EB3-8FE9-4548-95F9-E4F46286E003}"/>
                </a:ext>
              </a:extLst>
            </xdr:cNvPr>
            <xdr:cNvSpPr txBox="1"/>
          </xdr:nvSpPr>
          <xdr:spPr>
            <a:xfrm>
              <a:off x="2682240" y="70698360"/>
              <a:ext cx="137903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900" b="0" i="0">
                  <a:latin typeface="Cambria Math" panose="02040503050406030204" pitchFamily="18" charset="0"/>
                </a:rPr>
                <a:t>𝐾=</a:t>
              </a:r>
              <a:r>
                <a:rPr lang="el-GR" sz="900" b="0" i="0">
                  <a:latin typeface="Cambria Math" panose="02040503050406030204" pitchFamily="18" charset="0"/>
                </a:rPr>
                <a:t>√(</a:t>
              </a:r>
              <a:r>
                <a:rPr lang="en-US" sz="900" b="0" i="0">
                  <a:latin typeface="Cambria Math" panose="02040503050406030204" pitchFamily="18" charset="0"/>
                </a:rPr>
                <a:t>1+𝑓_𝑝𝑐/(0.126</a:t>
              </a:r>
              <a:r>
                <a:rPr lang="el-GR" sz="900" b="0" i="0">
                  <a:latin typeface="Cambria Math" panose="02040503050406030204" pitchFamily="18" charset="0"/>
                </a:rPr>
                <a:t>λ√(</a:t>
              </a:r>
              <a:r>
                <a:rPr lang="en-US" sz="900" b="0" i="0">
                  <a:latin typeface="Cambria Math" panose="02040503050406030204" pitchFamily="18" charset="0"/>
                </a:rPr>
                <a:t>𝑓_𝑐^′ </a:t>
              </a:r>
              <a:r>
                <a:rPr lang="el-GR" sz="900" b="0" i="0">
                  <a:latin typeface="Cambria Math" panose="02040503050406030204" pitchFamily="18" charset="0"/>
                </a:rPr>
                <a:t>)</a:t>
              </a:r>
              <a:r>
                <a:rPr lang="en-US" sz="900" b="0" i="0">
                  <a:latin typeface="Cambria Math" panose="02040503050406030204" pitchFamily="18" charset="0"/>
                </a:rPr>
                <a:t>)</a:t>
              </a:r>
              <a:r>
                <a:rPr lang="el-GR" sz="900" b="0" i="0">
                  <a:latin typeface="Cambria Math" panose="02040503050406030204" pitchFamily="18" charset="0"/>
                </a:rPr>
                <a:t>)</a:t>
              </a:r>
              <a:r>
                <a:rPr lang="en-US" sz="900" b="0" i="0">
                  <a:latin typeface="Cambria Math" panose="02040503050406030204" pitchFamily="18" charset="0"/>
                  <a:ea typeface="Cambria Math" panose="02040503050406030204" pitchFamily="18" charset="0"/>
                </a:rPr>
                <a:t>≤2.0</a:t>
              </a:r>
              <a:endParaRPr lang="en-US" sz="900"/>
            </a:p>
          </xdr:txBody>
        </xdr:sp>
      </mc:Fallback>
    </mc:AlternateContent>
    <xdr:clientData/>
  </xdr:oneCellAnchor>
  <xdr:oneCellAnchor>
    <xdr:from>
      <xdr:col>11</xdr:col>
      <xdr:colOff>413</xdr:colOff>
      <xdr:row>483</xdr:row>
      <xdr:rowOff>10281</xdr:rowOff>
    </xdr:from>
    <xdr:ext cx="936090" cy="156518"/>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938D6E62-C4C4-49C3-B284-8D169477FDE1}"/>
                </a:ext>
              </a:extLst>
            </xdr:cNvPr>
            <xdr:cNvSpPr txBox="1"/>
          </xdr:nvSpPr>
          <xdr:spPr>
            <a:xfrm>
              <a:off x="2004804" y="96370151"/>
              <a:ext cx="93609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𝑇</m:t>
                        </m:r>
                      </m:e>
                      <m:sub>
                        <m:r>
                          <a:rPr lang="en-US" sz="1000" b="0" i="1">
                            <a:latin typeface="Cambria Math" panose="02040503050406030204" pitchFamily="18" charset="0"/>
                          </a:rPr>
                          <m:t>𝑛</m:t>
                        </m:r>
                      </m:sub>
                    </m:sSub>
                    <m:r>
                      <a:rPr lang="en-US" sz="1000" b="0" i="1">
                        <a:latin typeface="Cambria Math" panose="02040503050406030204" pitchFamily="18" charset="0"/>
                      </a:rPr>
                      <m:t>=</m:t>
                    </m:r>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𝑇</m:t>
                            </m:r>
                          </m:e>
                          <m:sub>
                            <m:r>
                              <a:rPr lang="en-US" sz="1000" b="0" i="1">
                                <a:latin typeface="Cambria Math" panose="02040503050406030204" pitchFamily="18" charset="0"/>
                                <a:ea typeface="Cambria Math" panose="02040503050406030204" pitchFamily="18" charset="0"/>
                              </a:rPr>
                              <m:t>𝑠</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𝑇</m:t>
                            </m:r>
                          </m:e>
                          <m:sub>
                            <m:r>
                              <a:rPr lang="en-US" sz="1000" b="0" i="1">
                                <a:latin typeface="Cambria Math" panose="02040503050406030204" pitchFamily="18" charset="0"/>
                                <a:ea typeface="Cambria Math" panose="02040503050406030204" pitchFamily="18" charset="0"/>
                              </a:rPr>
                              <m:t>𝑡</m:t>
                            </m:r>
                          </m:sub>
                        </m:sSub>
                      </m:e>
                    </m:d>
                    <m:r>
                      <a:rPr lang="en-US" sz="1000" b="0" i="1">
                        <a:latin typeface="Cambria Math" panose="02040503050406030204" pitchFamily="18" charset="0"/>
                      </a:rPr>
                      <m:t>=</m:t>
                    </m:r>
                  </m:oMath>
                </m:oMathPara>
              </a14:m>
              <a:endParaRPr lang="en-US" sz="1100"/>
            </a:p>
          </xdr:txBody>
        </xdr:sp>
      </mc:Choice>
      <mc:Fallback xmlns="">
        <xdr:sp macro="" textlink="">
          <xdr:nvSpPr>
            <xdr:cNvPr id="25" name="TextBox 24">
              <a:extLst>
                <a:ext uri="{FF2B5EF4-FFF2-40B4-BE49-F238E27FC236}">
                  <a16:creationId xmlns:a16="http://schemas.microsoft.com/office/drawing/2014/main" id="{938D6E62-C4C4-49C3-B284-8D169477FDE1}"/>
                </a:ext>
              </a:extLst>
            </xdr:cNvPr>
            <xdr:cNvSpPr txBox="1"/>
          </xdr:nvSpPr>
          <xdr:spPr>
            <a:xfrm>
              <a:off x="2004804" y="96370151"/>
              <a:ext cx="93609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𝑇_𝑛=</a:t>
              </a:r>
              <a:r>
                <a:rPr lang="en-US" sz="1000" b="0" i="0">
                  <a:latin typeface="Cambria Math" panose="02040503050406030204" pitchFamily="18" charset="0"/>
                  <a:ea typeface="Cambria Math" panose="02040503050406030204" pitchFamily="18" charset="0"/>
                </a:rPr>
                <a:t>(𝑇_𝑠+𝑇_𝑡 )</a:t>
              </a:r>
              <a:r>
                <a:rPr lang="en-US" sz="1000" b="0" i="0">
                  <a:latin typeface="Cambria Math" panose="02040503050406030204" pitchFamily="18" charset="0"/>
                </a:rPr>
                <a:t>=</a:t>
              </a:r>
              <a:endParaRPr lang="en-US" sz="1100"/>
            </a:p>
          </xdr:txBody>
        </xdr:sp>
      </mc:Fallback>
    </mc:AlternateContent>
    <xdr:clientData/>
  </xdr:oneCellAnchor>
  <xdr:oneCellAnchor>
    <xdr:from>
      <xdr:col>8</xdr:col>
      <xdr:colOff>38888</xdr:colOff>
      <xdr:row>476</xdr:row>
      <xdr:rowOff>26276</xdr:rowOff>
    </xdr:from>
    <xdr:ext cx="1454950" cy="336759"/>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4FE0B6D6-EA6D-4AC4-8B1F-B2E2A329C875}"/>
                </a:ext>
              </a:extLst>
            </xdr:cNvPr>
            <xdr:cNvSpPr txBox="1"/>
          </xdr:nvSpPr>
          <xdr:spPr>
            <a:xfrm>
              <a:off x="1510336" y="93824535"/>
              <a:ext cx="1454950" cy="336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𝐾</m:t>
                    </m:r>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2</m:t>
                        </m:r>
                        <m:sSub>
                          <m:sSubPr>
                            <m:ctrlPr>
                              <a:rPr lang="en-US" sz="1000" b="0" i="1">
                                <a:latin typeface="Cambria Math" panose="02040503050406030204" pitchFamily="18" charset="0"/>
                              </a:rPr>
                            </m:ctrlPr>
                          </m:sSubPr>
                          <m:e>
                            <m:r>
                              <a:rPr lang="en-US" sz="1000" b="0" i="1">
                                <a:latin typeface="Cambria Math" panose="02040503050406030204" pitchFamily="18" charset="0"/>
                              </a:rPr>
                              <m:t>𝐷</m:t>
                            </m:r>
                          </m:e>
                          <m:sub>
                            <m:r>
                              <a:rPr lang="en-US" sz="1000" b="0" i="1">
                                <a:latin typeface="Cambria Math" panose="02040503050406030204" pitchFamily="18" charset="0"/>
                              </a:rPr>
                              <m:t>𝑠h𝑎𝑓𝑡</m:t>
                            </m:r>
                          </m:sub>
                        </m:sSub>
                      </m:num>
                      <m:den>
                        <m:r>
                          <a:rPr lang="en-US" sz="1000" b="0" i="1">
                            <a:latin typeface="Cambria Math" panose="02040503050406030204" pitchFamily="18" charset="0"/>
                          </a:rPr>
                          <m:t>3</m:t>
                        </m:r>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m:t>
                            </m:r>
                          </m:e>
                          <m:sub>
                            <m:r>
                              <a:rPr lang="en-US" sz="1000" b="0" i="1">
                                <a:latin typeface="Cambria Math" panose="02040503050406030204" pitchFamily="18" charset="0"/>
                              </a:rPr>
                              <m:t>𝑠h𝑎𝑓𝑡</m:t>
                            </m:r>
                          </m:sub>
                        </m:sSub>
                      </m:den>
                    </m:f>
                    <m:d>
                      <m:dPr>
                        <m:ctrlPr>
                          <a:rPr lang="en-US" sz="1000" b="0" i="1">
                            <a:latin typeface="Cambria Math" panose="02040503050406030204" pitchFamily="18" charset="0"/>
                          </a:rPr>
                        </m:ctrlPr>
                      </m:dPr>
                      <m:e>
                        <m:r>
                          <a:rPr lang="en-US" sz="1000" b="0" i="1">
                            <a:latin typeface="Cambria Math" panose="02040503050406030204" pitchFamily="18" charset="0"/>
                          </a:rPr>
                          <m:t>1−</m:t>
                        </m:r>
                        <m:r>
                          <a:rPr lang="en-US" sz="1000" b="0" i="1">
                            <a:latin typeface="Cambria Math" panose="02040503050406030204" pitchFamily="18" charset="0"/>
                          </a:rPr>
                          <m:t>𝑠𝑖𝑛</m:t>
                        </m:r>
                        <m:r>
                          <a:rPr lang="en-US" sz="1000" b="0" i="1">
                            <a:latin typeface="Cambria Math" panose="02040503050406030204" pitchFamily="18" charset="0"/>
                            <a:ea typeface="Cambria Math" panose="02040503050406030204" pitchFamily="18" charset="0"/>
                          </a:rPr>
                          <m:t>𝜑</m:t>
                        </m:r>
                      </m:e>
                    </m:d>
                    <m:r>
                      <a:rPr lang="en-US" sz="1000" b="0" i="1">
                        <a:latin typeface="Cambria Math" panose="02040503050406030204" pitchFamily="18" charset="0"/>
                        <a:ea typeface="Cambria Math" panose="02040503050406030204" pitchFamily="18" charset="0"/>
                      </a:rPr>
                      <m:t>=</m:t>
                    </m:r>
                  </m:oMath>
                </m:oMathPara>
              </a14:m>
              <a:endParaRPr lang="en-US" sz="1100"/>
            </a:p>
          </xdr:txBody>
        </xdr:sp>
      </mc:Choice>
      <mc:Fallback xmlns="">
        <xdr:sp macro="" textlink="">
          <xdr:nvSpPr>
            <xdr:cNvPr id="28" name="TextBox 27">
              <a:extLst>
                <a:ext uri="{FF2B5EF4-FFF2-40B4-BE49-F238E27FC236}">
                  <a16:creationId xmlns:a16="http://schemas.microsoft.com/office/drawing/2014/main" id="{4FE0B6D6-EA6D-4AC4-8B1F-B2E2A329C875}"/>
                </a:ext>
              </a:extLst>
            </xdr:cNvPr>
            <xdr:cNvSpPr txBox="1"/>
          </xdr:nvSpPr>
          <xdr:spPr>
            <a:xfrm>
              <a:off x="1510336" y="93824535"/>
              <a:ext cx="1454950" cy="336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𝐾=(2𝐷_𝑠ℎ𝑎𝑓𝑡)/(3</a:t>
              </a:r>
              <a:r>
                <a:rPr lang="en-US" sz="1000" b="0" i="0">
                  <a:latin typeface="Cambria Math" panose="02040503050406030204" pitchFamily="18" charset="0"/>
                  <a:ea typeface="Cambria Math" panose="02040503050406030204" pitchFamily="18" charset="0"/>
                </a:rPr>
                <a:t>∅_</a:t>
              </a:r>
              <a:r>
                <a:rPr lang="en-US" sz="1000" b="0" i="0">
                  <a:latin typeface="Cambria Math" panose="02040503050406030204" pitchFamily="18" charset="0"/>
                </a:rPr>
                <a:t>𝑠ℎ𝑎𝑓𝑡 ) (1−𝑠𝑖𝑛</a:t>
              </a:r>
              <a:r>
                <a:rPr lang="en-US" sz="1000" b="0" i="0">
                  <a:latin typeface="Cambria Math" panose="02040503050406030204" pitchFamily="18" charset="0"/>
                  <a:ea typeface="Cambria Math" panose="02040503050406030204" pitchFamily="18" charset="0"/>
                </a:rPr>
                <a:t>𝜑)=</a:t>
              </a:r>
              <a:endParaRPr lang="en-US" sz="1100"/>
            </a:p>
          </xdr:txBody>
        </xdr:sp>
      </mc:Fallback>
    </mc:AlternateContent>
    <xdr:clientData/>
  </xdr:oneCellAnchor>
  <xdr:twoCellAnchor editAs="oneCell">
    <xdr:from>
      <xdr:col>38</xdr:col>
      <xdr:colOff>49696</xdr:colOff>
      <xdr:row>444</xdr:row>
      <xdr:rowOff>180443</xdr:rowOff>
    </xdr:from>
    <xdr:to>
      <xdr:col>48</xdr:col>
      <xdr:colOff>135810</xdr:colOff>
      <xdr:row>460</xdr:row>
      <xdr:rowOff>35389</xdr:rowOff>
    </xdr:to>
    <xdr:grpSp>
      <xdr:nvGrpSpPr>
        <xdr:cNvPr id="253" name="Group 252">
          <a:extLst>
            <a:ext uri="{FF2B5EF4-FFF2-40B4-BE49-F238E27FC236}">
              <a16:creationId xmlns:a16="http://schemas.microsoft.com/office/drawing/2014/main" id="{1BDE7BC9-AB7D-4B73-9876-3C73FB213527}"/>
            </a:ext>
          </a:extLst>
        </xdr:cNvPr>
        <xdr:cNvGrpSpPr/>
      </xdr:nvGrpSpPr>
      <xdr:grpSpPr>
        <a:xfrm>
          <a:off x="7288696" y="90750493"/>
          <a:ext cx="1991114" cy="3106146"/>
          <a:chOff x="7173310" y="87818699"/>
          <a:chExt cx="1934461" cy="3011004"/>
        </a:xfrm>
      </xdr:grpSpPr>
      <xdr:sp macro="" textlink="">
        <xdr:nvSpPr>
          <xdr:cNvPr id="30" name="Oval 29">
            <a:extLst>
              <a:ext uri="{FF2B5EF4-FFF2-40B4-BE49-F238E27FC236}">
                <a16:creationId xmlns:a16="http://schemas.microsoft.com/office/drawing/2014/main" id="{A705FB8D-42C2-463F-AB9C-64947AF19F56}"/>
              </a:ext>
            </a:extLst>
          </xdr:cNvPr>
          <xdr:cNvSpPr/>
        </xdr:nvSpPr>
        <xdr:spPr>
          <a:xfrm>
            <a:off x="7173310" y="89068603"/>
            <a:ext cx="735724" cy="393522"/>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225" name="Straight Connector 224">
            <a:extLst>
              <a:ext uri="{FF2B5EF4-FFF2-40B4-BE49-F238E27FC236}">
                <a16:creationId xmlns:a16="http://schemas.microsoft.com/office/drawing/2014/main" id="{308C3356-BE6C-40EC-9105-B2E198CD20CC}"/>
              </a:ext>
            </a:extLst>
          </xdr:cNvPr>
          <xdr:cNvCxnSpPr/>
        </xdr:nvCxnSpPr>
        <xdr:spPr>
          <a:xfrm>
            <a:off x="7173310" y="89265672"/>
            <a:ext cx="0" cy="138482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3" name="Straight Connector 102">
            <a:extLst>
              <a:ext uri="{FF2B5EF4-FFF2-40B4-BE49-F238E27FC236}">
                <a16:creationId xmlns:a16="http://schemas.microsoft.com/office/drawing/2014/main" id="{4DBCEF63-42D1-4947-A2FE-84CDD080E453}"/>
              </a:ext>
            </a:extLst>
          </xdr:cNvPr>
          <xdr:cNvCxnSpPr/>
        </xdr:nvCxnSpPr>
        <xdr:spPr>
          <a:xfrm>
            <a:off x="7909034" y="89265672"/>
            <a:ext cx="0" cy="1384820"/>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04" name="Oval 103">
            <a:extLst>
              <a:ext uri="{FF2B5EF4-FFF2-40B4-BE49-F238E27FC236}">
                <a16:creationId xmlns:a16="http://schemas.microsoft.com/office/drawing/2014/main" id="{DA474DCF-099E-4DBD-AB4D-DE9EAC0B8D34}"/>
              </a:ext>
            </a:extLst>
          </xdr:cNvPr>
          <xdr:cNvSpPr/>
        </xdr:nvSpPr>
        <xdr:spPr>
          <a:xfrm>
            <a:off x="7173310" y="90441517"/>
            <a:ext cx="735724" cy="38818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105" name="Straight Connector 104">
            <a:extLst>
              <a:ext uri="{FF2B5EF4-FFF2-40B4-BE49-F238E27FC236}">
                <a16:creationId xmlns:a16="http://schemas.microsoft.com/office/drawing/2014/main" id="{CA945ADE-8997-4CB7-A8A8-32943487B5A8}"/>
              </a:ext>
            </a:extLst>
          </xdr:cNvPr>
          <xdr:cNvCxnSpPr/>
        </xdr:nvCxnSpPr>
        <xdr:spPr>
          <a:xfrm>
            <a:off x="7357241" y="88674466"/>
            <a:ext cx="0" cy="591206"/>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7" name="Straight Connector 106">
            <a:extLst>
              <a:ext uri="{FF2B5EF4-FFF2-40B4-BE49-F238E27FC236}">
                <a16:creationId xmlns:a16="http://schemas.microsoft.com/office/drawing/2014/main" id="{31B3FECA-4890-4571-992E-BCEF968AAF21}"/>
              </a:ext>
            </a:extLst>
          </xdr:cNvPr>
          <xdr:cNvCxnSpPr/>
        </xdr:nvCxnSpPr>
        <xdr:spPr>
          <a:xfrm>
            <a:off x="7725103" y="88674466"/>
            <a:ext cx="0" cy="591206"/>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9" name="Straight Connector 108">
            <a:extLst>
              <a:ext uri="{FF2B5EF4-FFF2-40B4-BE49-F238E27FC236}">
                <a16:creationId xmlns:a16="http://schemas.microsoft.com/office/drawing/2014/main" id="{CB2B52BE-1B45-4659-9D99-33FFBC01EEC9}"/>
              </a:ext>
            </a:extLst>
          </xdr:cNvPr>
          <xdr:cNvCxnSpPr/>
        </xdr:nvCxnSpPr>
        <xdr:spPr>
          <a:xfrm>
            <a:off x="7357241" y="89271009"/>
            <a:ext cx="0" cy="1379483"/>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xnSp macro="">
        <xdr:nvCxnSpPr>
          <xdr:cNvPr id="110" name="Straight Connector 109">
            <a:extLst>
              <a:ext uri="{FF2B5EF4-FFF2-40B4-BE49-F238E27FC236}">
                <a16:creationId xmlns:a16="http://schemas.microsoft.com/office/drawing/2014/main" id="{882A85C0-1B27-4E24-8266-73772EA7AF92}"/>
              </a:ext>
            </a:extLst>
          </xdr:cNvPr>
          <xdr:cNvCxnSpPr/>
        </xdr:nvCxnSpPr>
        <xdr:spPr>
          <a:xfrm>
            <a:off x="7725103" y="89260335"/>
            <a:ext cx="0" cy="1384820"/>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sp macro="" textlink="">
        <xdr:nvSpPr>
          <xdr:cNvPr id="236" name="Oval 235">
            <a:extLst>
              <a:ext uri="{FF2B5EF4-FFF2-40B4-BE49-F238E27FC236}">
                <a16:creationId xmlns:a16="http://schemas.microsoft.com/office/drawing/2014/main" id="{2946A8AC-E572-4157-A10B-04FE3FD49F2D}"/>
              </a:ext>
            </a:extLst>
          </xdr:cNvPr>
          <xdr:cNvSpPr/>
        </xdr:nvSpPr>
        <xdr:spPr>
          <a:xfrm>
            <a:off x="7357242" y="90551671"/>
            <a:ext cx="365137" cy="149240"/>
          </a:xfrm>
          <a:prstGeom prst="ellipse">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117" name="Oval 116">
            <a:extLst>
              <a:ext uri="{FF2B5EF4-FFF2-40B4-BE49-F238E27FC236}">
                <a16:creationId xmlns:a16="http://schemas.microsoft.com/office/drawing/2014/main" id="{561BBC58-F534-40D8-B388-D6C450619373}"/>
              </a:ext>
            </a:extLst>
          </xdr:cNvPr>
          <xdr:cNvSpPr/>
        </xdr:nvSpPr>
        <xdr:spPr>
          <a:xfrm>
            <a:off x="7357241" y="88610623"/>
            <a:ext cx="365137" cy="149240"/>
          </a:xfrm>
          <a:prstGeom prst="ellipse">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239" name="Straight Arrow Connector 238">
            <a:extLst>
              <a:ext uri="{FF2B5EF4-FFF2-40B4-BE49-F238E27FC236}">
                <a16:creationId xmlns:a16="http://schemas.microsoft.com/office/drawing/2014/main" id="{B63EA00A-4CB0-492B-AA9D-59F9AE9AD5D5}"/>
              </a:ext>
            </a:extLst>
          </xdr:cNvPr>
          <xdr:cNvCxnSpPr/>
        </xdr:nvCxnSpPr>
        <xdr:spPr>
          <a:xfrm flipV="1">
            <a:off x="7541172" y="88083259"/>
            <a:ext cx="0" cy="551793"/>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xnSp macro="">
        <xdr:nvCxnSpPr>
          <xdr:cNvPr id="121" name="Straight Arrow Connector 120">
            <a:extLst>
              <a:ext uri="{FF2B5EF4-FFF2-40B4-BE49-F238E27FC236}">
                <a16:creationId xmlns:a16="http://schemas.microsoft.com/office/drawing/2014/main" id="{F5436FB2-2D66-417F-829D-983FF7B5019C}"/>
              </a:ext>
            </a:extLst>
          </xdr:cNvPr>
          <xdr:cNvCxnSpPr/>
        </xdr:nvCxnSpPr>
        <xdr:spPr>
          <a:xfrm flipV="1">
            <a:off x="7541172" y="87925604"/>
            <a:ext cx="0" cy="551793"/>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xnSp macro="">
        <xdr:nvCxnSpPr>
          <xdr:cNvPr id="242" name="Straight Arrow Connector 241">
            <a:extLst>
              <a:ext uri="{FF2B5EF4-FFF2-40B4-BE49-F238E27FC236}">
                <a16:creationId xmlns:a16="http://schemas.microsoft.com/office/drawing/2014/main" id="{71720B67-3DEF-43E2-86DC-FD8FC88064AE}"/>
              </a:ext>
            </a:extLst>
          </xdr:cNvPr>
          <xdr:cNvCxnSpPr/>
        </xdr:nvCxnSpPr>
        <xdr:spPr>
          <a:xfrm>
            <a:off x="8283466" y="88674466"/>
            <a:ext cx="0" cy="591206"/>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cxnSp macro="">
        <xdr:nvCxnSpPr>
          <xdr:cNvPr id="124" name="Straight Arrow Connector 123">
            <a:extLst>
              <a:ext uri="{FF2B5EF4-FFF2-40B4-BE49-F238E27FC236}">
                <a16:creationId xmlns:a16="http://schemas.microsoft.com/office/drawing/2014/main" id="{DFAC6B39-55B6-4676-BF20-02C56013E4FB}"/>
              </a:ext>
            </a:extLst>
          </xdr:cNvPr>
          <xdr:cNvCxnSpPr/>
        </xdr:nvCxnSpPr>
        <xdr:spPr>
          <a:xfrm>
            <a:off x="8651328" y="88674466"/>
            <a:ext cx="0" cy="1970689"/>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cxnSp macro="">
        <xdr:nvCxnSpPr>
          <xdr:cNvPr id="246" name="Straight Connector 245">
            <a:extLst>
              <a:ext uri="{FF2B5EF4-FFF2-40B4-BE49-F238E27FC236}">
                <a16:creationId xmlns:a16="http://schemas.microsoft.com/office/drawing/2014/main" id="{B9F5B78A-EB12-4C0A-97BE-9AC603D8294C}"/>
              </a:ext>
            </a:extLst>
          </xdr:cNvPr>
          <xdr:cNvCxnSpPr/>
        </xdr:nvCxnSpPr>
        <xdr:spPr>
          <a:xfrm flipV="1">
            <a:off x="7909034" y="88674467"/>
            <a:ext cx="735725" cy="859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8" name="Straight Connector 127">
            <a:extLst>
              <a:ext uri="{FF2B5EF4-FFF2-40B4-BE49-F238E27FC236}">
                <a16:creationId xmlns:a16="http://schemas.microsoft.com/office/drawing/2014/main" id="{A3636B8A-8140-4ACC-AC0D-34BEA71CEB8B}"/>
              </a:ext>
            </a:extLst>
          </xdr:cNvPr>
          <xdr:cNvCxnSpPr/>
        </xdr:nvCxnSpPr>
        <xdr:spPr>
          <a:xfrm flipV="1">
            <a:off x="7928741" y="90645154"/>
            <a:ext cx="738450" cy="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2" name="Straight Connector 131">
            <a:extLst>
              <a:ext uri="{FF2B5EF4-FFF2-40B4-BE49-F238E27FC236}">
                <a16:creationId xmlns:a16="http://schemas.microsoft.com/office/drawing/2014/main" id="{29185D20-F1D8-4426-8EE1-9D5F5CB59DC7}"/>
              </a:ext>
            </a:extLst>
          </xdr:cNvPr>
          <xdr:cNvCxnSpPr/>
        </xdr:nvCxnSpPr>
        <xdr:spPr>
          <a:xfrm flipV="1">
            <a:off x="7931466" y="89279605"/>
            <a:ext cx="352000" cy="1"/>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252" name="TextBox 251">
            <a:extLst>
              <a:ext uri="{FF2B5EF4-FFF2-40B4-BE49-F238E27FC236}">
                <a16:creationId xmlns:a16="http://schemas.microsoft.com/office/drawing/2014/main" id="{F73F6615-4C58-4D8C-B542-BAD55B06E510}"/>
              </a:ext>
            </a:extLst>
          </xdr:cNvPr>
          <xdr:cNvSpPr txBox="1"/>
        </xdr:nvSpPr>
        <xdr:spPr>
          <a:xfrm>
            <a:off x="8644759" y="89462741"/>
            <a:ext cx="4630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D</a:t>
            </a:r>
            <a:r>
              <a:rPr lang="en-US" sz="1100" baseline="-25000"/>
              <a:t>shaft</a:t>
            </a:r>
          </a:p>
        </xdr:txBody>
      </xdr:sp>
      <xdr:sp macro="" textlink="">
        <xdr:nvSpPr>
          <xdr:cNvPr id="136" name="TextBox 135">
            <a:extLst>
              <a:ext uri="{FF2B5EF4-FFF2-40B4-BE49-F238E27FC236}">
                <a16:creationId xmlns:a16="http://schemas.microsoft.com/office/drawing/2014/main" id="{6D2CE203-F63D-4BBE-AFF7-890B3BF96B88}"/>
              </a:ext>
            </a:extLst>
          </xdr:cNvPr>
          <xdr:cNvSpPr txBox="1"/>
        </xdr:nvSpPr>
        <xdr:spPr>
          <a:xfrm>
            <a:off x="7541172" y="87818699"/>
            <a:ext cx="3028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a:t>
            </a:r>
            <a:r>
              <a:rPr lang="en-US" sz="1100" baseline="-25000"/>
              <a:t>u</a:t>
            </a:r>
          </a:p>
        </xdr:txBody>
      </xdr:sp>
      <xdr:sp macro="" textlink="">
        <xdr:nvSpPr>
          <xdr:cNvPr id="137" name="TextBox 136">
            <a:extLst>
              <a:ext uri="{FF2B5EF4-FFF2-40B4-BE49-F238E27FC236}">
                <a16:creationId xmlns:a16="http://schemas.microsoft.com/office/drawing/2014/main" id="{21002DA7-083D-4F7D-9CCA-1644098B2808}"/>
              </a:ext>
            </a:extLst>
          </xdr:cNvPr>
          <xdr:cNvSpPr txBox="1"/>
        </xdr:nvSpPr>
        <xdr:spPr>
          <a:xfrm>
            <a:off x="7725103" y="88804043"/>
            <a:ext cx="64158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1.5</a:t>
            </a:r>
            <a:r>
              <a:rPr lang="en-US" sz="1100">
                <a:latin typeface="Cambria" panose="02040503050406030204" pitchFamily="18" charset="0"/>
              </a:rPr>
              <a:t>∅</a:t>
            </a:r>
            <a:r>
              <a:rPr lang="en-US" sz="1100" baseline="-25000"/>
              <a:t>shaft</a:t>
            </a:r>
          </a:p>
        </xdr:txBody>
      </xdr:sp>
    </xdr:grpSp>
    <xdr:clientData/>
  </xdr:twoCellAnchor>
  <xdr:twoCellAnchor>
    <xdr:from>
      <xdr:col>22</xdr:col>
      <xdr:colOff>65834</xdr:colOff>
      <xdr:row>446</xdr:row>
      <xdr:rowOff>188133</xdr:rowOff>
    </xdr:from>
    <xdr:to>
      <xdr:col>31</xdr:col>
      <xdr:colOff>81644</xdr:colOff>
      <xdr:row>457</xdr:row>
      <xdr:rowOff>43716</xdr:rowOff>
    </xdr:to>
    <xdr:grpSp>
      <xdr:nvGrpSpPr>
        <xdr:cNvPr id="139" name="Group 138">
          <a:extLst>
            <a:ext uri="{FF2B5EF4-FFF2-40B4-BE49-F238E27FC236}">
              <a16:creationId xmlns:a16="http://schemas.microsoft.com/office/drawing/2014/main" id="{B9F6D153-6F2E-4AEB-BA89-C09BE6838A29}"/>
            </a:ext>
          </a:extLst>
        </xdr:cNvPr>
        <xdr:cNvGrpSpPr/>
      </xdr:nvGrpSpPr>
      <xdr:grpSpPr>
        <a:xfrm>
          <a:off x="4256834" y="91164583"/>
          <a:ext cx="1730310" cy="2090783"/>
          <a:chOff x="7173310" y="87818699"/>
          <a:chExt cx="2482987" cy="3011004"/>
        </a:xfrm>
      </xdr:grpSpPr>
      <xdr:sp macro="" textlink="">
        <xdr:nvSpPr>
          <xdr:cNvPr id="140" name="Oval 139">
            <a:extLst>
              <a:ext uri="{FF2B5EF4-FFF2-40B4-BE49-F238E27FC236}">
                <a16:creationId xmlns:a16="http://schemas.microsoft.com/office/drawing/2014/main" id="{D4E87E9D-83F8-40CA-9919-1CCFFB1C51DC}"/>
              </a:ext>
            </a:extLst>
          </xdr:cNvPr>
          <xdr:cNvSpPr/>
        </xdr:nvSpPr>
        <xdr:spPr>
          <a:xfrm>
            <a:off x="7173310" y="89068603"/>
            <a:ext cx="735725" cy="39352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141" name="Straight Connector 140">
            <a:extLst>
              <a:ext uri="{FF2B5EF4-FFF2-40B4-BE49-F238E27FC236}">
                <a16:creationId xmlns:a16="http://schemas.microsoft.com/office/drawing/2014/main" id="{05321835-66A4-4B7F-9FC4-A39BBB5794DD}"/>
              </a:ext>
            </a:extLst>
          </xdr:cNvPr>
          <xdr:cNvCxnSpPr/>
        </xdr:nvCxnSpPr>
        <xdr:spPr>
          <a:xfrm>
            <a:off x="7173310" y="89265672"/>
            <a:ext cx="0" cy="138482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42" name="Straight Connector 141">
            <a:extLst>
              <a:ext uri="{FF2B5EF4-FFF2-40B4-BE49-F238E27FC236}">
                <a16:creationId xmlns:a16="http://schemas.microsoft.com/office/drawing/2014/main" id="{EA49E985-48E4-4510-96A4-4FF4B2A66FE0}"/>
              </a:ext>
            </a:extLst>
          </xdr:cNvPr>
          <xdr:cNvCxnSpPr/>
        </xdr:nvCxnSpPr>
        <xdr:spPr>
          <a:xfrm>
            <a:off x="7909034" y="89265672"/>
            <a:ext cx="0" cy="1384820"/>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43" name="Oval 142">
            <a:extLst>
              <a:ext uri="{FF2B5EF4-FFF2-40B4-BE49-F238E27FC236}">
                <a16:creationId xmlns:a16="http://schemas.microsoft.com/office/drawing/2014/main" id="{FBFBAD8C-106B-465D-AD3E-9FFD82349FE9}"/>
              </a:ext>
            </a:extLst>
          </xdr:cNvPr>
          <xdr:cNvSpPr/>
        </xdr:nvSpPr>
        <xdr:spPr>
          <a:xfrm>
            <a:off x="7173310" y="90441517"/>
            <a:ext cx="735724" cy="38818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144" name="Straight Connector 143">
            <a:extLst>
              <a:ext uri="{FF2B5EF4-FFF2-40B4-BE49-F238E27FC236}">
                <a16:creationId xmlns:a16="http://schemas.microsoft.com/office/drawing/2014/main" id="{2B8C2EA7-9765-4D41-9605-E6F7956A69EB}"/>
              </a:ext>
            </a:extLst>
          </xdr:cNvPr>
          <xdr:cNvCxnSpPr/>
        </xdr:nvCxnSpPr>
        <xdr:spPr>
          <a:xfrm>
            <a:off x="7357241" y="88674466"/>
            <a:ext cx="0" cy="591206"/>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45" name="Straight Connector 144">
            <a:extLst>
              <a:ext uri="{FF2B5EF4-FFF2-40B4-BE49-F238E27FC236}">
                <a16:creationId xmlns:a16="http://schemas.microsoft.com/office/drawing/2014/main" id="{94EF3EEF-D116-496D-96FD-DB38D35FDB42}"/>
              </a:ext>
            </a:extLst>
          </xdr:cNvPr>
          <xdr:cNvCxnSpPr/>
        </xdr:nvCxnSpPr>
        <xdr:spPr>
          <a:xfrm>
            <a:off x="7725103" y="88674466"/>
            <a:ext cx="0" cy="591206"/>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46" name="Straight Connector 145">
            <a:extLst>
              <a:ext uri="{FF2B5EF4-FFF2-40B4-BE49-F238E27FC236}">
                <a16:creationId xmlns:a16="http://schemas.microsoft.com/office/drawing/2014/main" id="{2D950AAB-2436-40D6-BD12-8FEE77043EAA}"/>
              </a:ext>
            </a:extLst>
          </xdr:cNvPr>
          <xdr:cNvCxnSpPr/>
        </xdr:nvCxnSpPr>
        <xdr:spPr>
          <a:xfrm>
            <a:off x="7357241" y="89271009"/>
            <a:ext cx="0" cy="1379483"/>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xnSp macro="">
        <xdr:nvCxnSpPr>
          <xdr:cNvPr id="147" name="Straight Connector 146">
            <a:extLst>
              <a:ext uri="{FF2B5EF4-FFF2-40B4-BE49-F238E27FC236}">
                <a16:creationId xmlns:a16="http://schemas.microsoft.com/office/drawing/2014/main" id="{C5D27AF4-DEDC-47AB-BCEB-11CA6ED44EEB}"/>
              </a:ext>
            </a:extLst>
          </xdr:cNvPr>
          <xdr:cNvCxnSpPr/>
        </xdr:nvCxnSpPr>
        <xdr:spPr>
          <a:xfrm>
            <a:off x="7725103" y="89260335"/>
            <a:ext cx="0" cy="1384820"/>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sp macro="" textlink="">
        <xdr:nvSpPr>
          <xdr:cNvPr id="148" name="Oval 147">
            <a:extLst>
              <a:ext uri="{FF2B5EF4-FFF2-40B4-BE49-F238E27FC236}">
                <a16:creationId xmlns:a16="http://schemas.microsoft.com/office/drawing/2014/main" id="{9FB4E699-95A4-4001-A140-450189C67E7D}"/>
              </a:ext>
            </a:extLst>
          </xdr:cNvPr>
          <xdr:cNvSpPr/>
        </xdr:nvSpPr>
        <xdr:spPr>
          <a:xfrm>
            <a:off x="7357242" y="90551671"/>
            <a:ext cx="365137" cy="149240"/>
          </a:xfrm>
          <a:prstGeom prst="ellipse">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149" name="Oval 148">
            <a:extLst>
              <a:ext uri="{FF2B5EF4-FFF2-40B4-BE49-F238E27FC236}">
                <a16:creationId xmlns:a16="http://schemas.microsoft.com/office/drawing/2014/main" id="{0CABFCE0-CC2A-4252-B552-BA3B845CDF88}"/>
              </a:ext>
            </a:extLst>
          </xdr:cNvPr>
          <xdr:cNvSpPr/>
        </xdr:nvSpPr>
        <xdr:spPr>
          <a:xfrm>
            <a:off x="7357241" y="88610623"/>
            <a:ext cx="365137" cy="149240"/>
          </a:xfrm>
          <a:prstGeom prst="ellipse">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150" name="Straight Arrow Connector 149">
            <a:extLst>
              <a:ext uri="{FF2B5EF4-FFF2-40B4-BE49-F238E27FC236}">
                <a16:creationId xmlns:a16="http://schemas.microsoft.com/office/drawing/2014/main" id="{AB8DC60B-9E48-4DB8-8FF5-BE6159241E9D}"/>
              </a:ext>
            </a:extLst>
          </xdr:cNvPr>
          <xdr:cNvCxnSpPr/>
        </xdr:nvCxnSpPr>
        <xdr:spPr>
          <a:xfrm flipV="1">
            <a:off x="7541172" y="88083259"/>
            <a:ext cx="0" cy="551793"/>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xnSp macro="">
        <xdr:nvCxnSpPr>
          <xdr:cNvPr id="151" name="Straight Arrow Connector 150">
            <a:extLst>
              <a:ext uri="{FF2B5EF4-FFF2-40B4-BE49-F238E27FC236}">
                <a16:creationId xmlns:a16="http://schemas.microsoft.com/office/drawing/2014/main" id="{FEFE349F-EA86-4320-A208-40F1C7A6D0E7}"/>
              </a:ext>
            </a:extLst>
          </xdr:cNvPr>
          <xdr:cNvCxnSpPr/>
        </xdr:nvCxnSpPr>
        <xdr:spPr>
          <a:xfrm flipV="1">
            <a:off x="7541172" y="87925604"/>
            <a:ext cx="0" cy="551793"/>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xnSp macro="">
        <xdr:nvCxnSpPr>
          <xdr:cNvPr id="152" name="Straight Arrow Connector 151">
            <a:extLst>
              <a:ext uri="{FF2B5EF4-FFF2-40B4-BE49-F238E27FC236}">
                <a16:creationId xmlns:a16="http://schemas.microsoft.com/office/drawing/2014/main" id="{0E6E6558-893C-406E-8708-FF4836DA5EF3}"/>
              </a:ext>
            </a:extLst>
          </xdr:cNvPr>
          <xdr:cNvCxnSpPr/>
        </xdr:nvCxnSpPr>
        <xdr:spPr>
          <a:xfrm>
            <a:off x="8076479" y="88674466"/>
            <a:ext cx="0" cy="591206"/>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cxnSp macro="">
        <xdr:nvCxnSpPr>
          <xdr:cNvPr id="153" name="Straight Arrow Connector 152">
            <a:extLst>
              <a:ext uri="{FF2B5EF4-FFF2-40B4-BE49-F238E27FC236}">
                <a16:creationId xmlns:a16="http://schemas.microsoft.com/office/drawing/2014/main" id="{9531C2AF-6BB0-401E-989F-EF69A80363E7}"/>
              </a:ext>
            </a:extLst>
          </xdr:cNvPr>
          <xdr:cNvCxnSpPr/>
        </xdr:nvCxnSpPr>
        <xdr:spPr>
          <a:xfrm>
            <a:off x="8914494" y="88674465"/>
            <a:ext cx="0" cy="1970688"/>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cxnSp macro="">
        <xdr:nvCxnSpPr>
          <xdr:cNvPr id="154" name="Straight Connector 153">
            <a:extLst>
              <a:ext uri="{FF2B5EF4-FFF2-40B4-BE49-F238E27FC236}">
                <a16:creationId xmlns:a16="http://schemas.microsoft.com/office/drawing/2014/main" id="{90321EBE-3E6E-4879-B137-11A607E8702D}"/>
              </a:ext>
            </a:extLst>
          </xdr:cNvPr>
          <xdr:cNvCxnSpPr/>
        </xdr:nvCxnSpPr>
        <xdr:spPr>
          <a:xfrm>
            <a:off x="7909034" y="88683062"/>
            <a:ext cx="103524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5" name="Straight Connector 154">
            <a:extLst>
              <a:ext uri="{FF2B5EF4-FFF2-40B4-BE49-F238E27FC236}">
                <a16:creationId xmlns:a16="http://schemas.microsoft.com/office/drawing/2014/main" id="{6B22A294-99EE-4011-90D7-C27EF89D7CC5}"/>
              </a:ext>
            </a:extLst>
          </xdr:cNvPr>
          <xdr:cNvCxnSpPr/>
        </xdr:nvCxnSpPr>
        <xdr:spPr>
          <a:xfrm flipV="1">
            <a:off x="7928742" y="90645158"/>
            <a:ext cx="1023819" cy="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6" name="Straight Connector 155">
            <a:extLst>
              <a:ext uri="{FF2B5EF4-FFF2-40B4-BE49-F238E27FC236}">
                <a16:creationId xmlns:a16="http://schemas.microsoft.com/office/drawing/2014/main" id="{4D31AD18-18F9-4A2C-8264-BB789123CD71}"/>
              </a:ext>
            </a:extLst>
          </xdr:cNvPr>
          <xdr:cNvCxnSpPr/>
        </xdr:nvCxnSpPr>
        <xdr:spPr>
          <a:xfrm flipV="1">
            <a:off x="7931466" y="89279606"/>
            <a:ext cx="168332" cy="1"/>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57" name="TextBox 156">
            <a:extLst>
              <a:ext uri="{FF2B5EF4-FFF2-40B4-BE49-F238E27FC236}">
                <a16:creationId xmlns:a16="http://schemas.microsoft.com/office/drawing/2014/main" id="{3CBD61F1-89B4-4CF0-A844-739984ADFD08}"/>
              </a:ext>
            </a:extLst>
          </xdr:cNvPr>
          <xdr:cNvSpPr txBox="1"/>
        </xdr:nvSpPr>
        <xdr:spPr>
          <a:xfrm>
            <a:off x="8913182" y="89462741"/>
            <a:ext cx="743115" cy="391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a:t>
            </a:r>
            <a:r>
              <a:rPr lang="en-US" sz="1100" baseline="-25000"/>
              <a:t>shaft</a:t>
            </a:r>
          </a:p>
        </xdr:txBody>
      </xdr:sp>
      <xdr:sp macro="" textlink="">
        <xdr:nvSpPr>
          <xdr:cNvPr id="158" name="TextBox 157">
            <a:extLst>
              <a:ext uri="{FF2B5EF4-FFF2-40B4-BE49-F238E27FC236}">
                <a16:creationId xmlns:a16="http://schemas.microsoft.com/office/drawing/2014/main" id="{B726AD2D-0928-4134-B62F-F61FFED95160}"/>
              </a:ext>
            </a:extLst>
          </xdr:cNvPr>
          <xdr:cNvSpPr txBox="1"/>
        </xdr:nvSpPr>
        <xdr:spPr>
          <a:xfrm>
            <a:off x="7541171" y="87818699"/>
            <a:ext cx="524661" cy="390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a:t>
            </a:r>
            <a:r>
              <a:rPr lang="en-US" sz="1100" baseline="-25000"/>
              <a:t>u</a:t>
            </a:r>
          </a:p>
        </xdr:txBody>
      </xdr:sp>
      <xdr:sp macro="" textlink="">
        <xdr:nvSpPr>
          <xdr:cNvPr id="159" name="TextBox 158">
            <a:extLst>
              <a:ext uri="{FF2B5EF4-FFF2-40B4-BE49-F238E27FC236}">
                <a16:creationId xmlns:a16="http://schemas.microsoft.com/office/drawing/2014/main" id="{88CA5ED4-18AE-4E20-AC2F-0D53127067ED}"/>
              </a:ext>
            </a:extLst>
          </xdr:cNvPr>
          <xdr:cNvSpPr txBox="1"/>
        </xdr:nvSpPr>
        <xdr:spPr>
          <a:xfrm>
            <a:off x="8021883" y="88814984"/>
            <a:ext cx="1099934" cy="391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1.5</a:t>
            </a:r>
            <a:r>
              <a:rPr lang="en-US" sz="1100">
                <a:latin typeface="Cambria" panose="02040503050406030204" pitchFamily="18" charset="0"/>
              </a:rPr>
              <a:t>∅</a:t>
            </a:r>
            <a:r>
              <a:rPr lang="en-US" sz="1100" baseline="-25000"/>
              <a:t>shaft</a:t>
            </a:r>
          </a:p>
        </xdr:txBody>
      </xdr:sp>
    </xdr:grpSp>
    <xdr:clientData/>
  </xdr:twoCellAnchor>
  <xdr:twoCellAnchor>
    <xdr:from>
      <xdr:col>24</xdr:col>
      <xdr:colOff>28993</xdr:colOff>
      <xdr:row>471</xdr:row>
      <xdr:rowOff>20028</xdr:rowOff>
    </xdr:from>
    <xdr:to>
      <xdr:col>30</xdr:col>
      <xdr:colOff>161676</xdr:colOff>
      <xdr:row>483</xdr:row>
      <xdr:rowOff>1183</xdr:rowOff>
    </xdr:to>
    <xdr:grpSp>
      <xdr:nvGrpSpPr>
        <xdr:cNvPr id="184" name="Group 183">
          <a:extLst>
            <a:ext uri="{FF2B5EF4-FFF2-40B4-BE49-F238E27FC236}">
              <a16:creationId xmlns:a16="http://schemas.microsoft.com/office/drawing/2014/main" id="{1A469F07-E472-48E9-A4E2-01F3D1CB4097}"/>
            </a:ext>
          </a:extLst>
        </xdr:cNvPr>
        <xdr:cNvGrpSpPr/>
      </xdr:nvGrpSpPr>
      <xdr:grpSpPr>
        <a:xfrm>
          <a:off x="4600993" y="96076478"/>
          <a:ext cx="1275683" cy="2419555"/>
          <a:chOff x="7173310" y="87818699"/>
          <a:chExt cx="1730029" cy="3269293"/>
        </a:xfrm>
      </xdr:grpSpPr>
      <xdr:cxnSp macro="">
        <xdr:nvCxnSpPr>
          <xdr:cNvPr id="186" name="Straight Connector 185">
            <a:extLst>
              <a:ext uri="{FF2B5EF4-FFF2-40B4-BE49-F238E27FC236}">
                <a16:creationId xmlns:a16="http://schemas.microsoft.com/office/drawing/2014/main" id="{6D221619-4959-4E53-AEDE-0BA552CDD95F}"/>
              </a:ext>
            </a:extLst>
          </xdr:cNvPr>
          <xdr:cNvCxnSpPr>
            <a:stCxn id="194" idx="2"/>
          </xdr:cNvCxnSpPr>
        </xdr:nvCxnSpPr>
        <xdr:spPr>
          <a:xfrm flipH="1">
            <a:off x="7173310" y="88685243"/>
            <a:ext cx="183931" cy="1965249"/>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87" name="Straight Connector 186">
            <a:extLst>
              <a:ext uri="{FF2B5EF4-FFF2-40B4-BE49-F238E27FC236}">
                <a16:creationId xmlns:a16="http://schemas.microsoft.com/office/drawing/2014/main" id="{4C5FB774-E25F-432E-B332-82F10575D109}"/>
              </a:ext>
            </a:extLst>
          </xdr:cNvPr>
          <xdr:cNvCxnSpPr>
            <a:stCxn id="194" idx="6"/>
          </xdr:cNvCxnSpPr>
        </xdr:nvCxnSpPr>
        <xdr:spPr>
          <a:xfrm>
            <a:off x="7722378" y="88685243"/>
            <a:ext cx="186656" cy="1965249"/>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88" name="Oval 187">
            <a:extLst>
              <a:ext uri="{FF2B5EF4-FFF2-40B4-BE49-F238E27FC236}">
                <a16:creationId xmlns:a16="http://schemas.microsoft.com/office/drawing/2014/main" id="{9001A4F1-06DA-4A87-9FD1-883F9596960C}"/>
              </a:ext>
            </a:extLst>
          </xdr:cNvPr>
          <xdr:cNvSpPr/>
        </xdr:nvSpPr>
        <xdr:spPr>
          <a:xfrm>
            <a:off x="7173310" y="90441517"/>
            <a:ext cx="735724" cy="38818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191" name="Straight Connector 190">
            <a:extLst>
              <a:ext uri="{FF2B5EF4-FFF2-40B4-BE49-F238E27FC236}">
                <a16:creationId xmlns:a16="http://schemas.microsoft.com/office/drawing/2014/main" id="{C4CEED54-CE69-4845-85D0-65354EFC2738}"/>
              </a:ext>
            </a:extLst>
          </xdr:cNvPr>
          <xdr:cNvCxnSpPr>
            <a:stCxn id="194" idx="2"/>
          </xdr:cNvCxnSpPr>
        </xdr:nvCxnSpPr>
        <xdr:spPr>
          <a:xfrm>
            <a:off x="7357241" y="88685243"/>
            <a:ext cx="0" cy="1965249"/>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xnSp macro="">
        <xdr:nvCxnSpPr>
          <xdr:cNvPr id="192" name="Straight Connector 191">
            <a:extLst>
              <a:ext uri="{FF2B5EF4-FFF2-40B4-BE49-F238E27FC236}">
                <a16:creationId xmlns:a16="http://schemas.microsoft.com/office/drawing/2014/main" id="{A3B9D832-7148-419F-83F4-0B035233C913}"/>
              </a:ext>
            </a:extLst>
          </xdr:cNvPr>
          <xdr:cNvCxnSpPr>
            <a:stCxn id="194" idx="6"/>
          </xdr:cNvCxnSpPr>
        </xdr:nvCxnSpPr>
        <xdr:spPr>
          <a:xfrm>
            <a:off x="7722378" y="88685243"/>
            <a:ext cx="3954" cy="1947402"/>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sp macro="" textlink="">
        <xdr:nvSpPr>
          <xdr:cNvPr id="193" name="Oval 192">
            <a:extLst>
              <a:ext uri="{FF2B5EF4-FFF2-40B4-BE49-F238E27FC236}">
                <a16:creationId xmlns:a16="http://schemas.microsoft.com/office/drawing/2014/main" id="{96BA17DD-B577-4CEA-93E9-3CF822496E39}"/>
              </a:ext>
            </a:extLst>
          </xdr:cNvPr>
          <xdr:cNvSpPr/>
        </xdr:nvSpPr>
        <xdr:spPr>
          <a:xfrm>
            <a:off x="7357242" y="90551671"/>
            <a:ext cx="365137" cy="149240"/>
          </a:xfrm>
          <a:prstGeom prst="ellipse">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194" name="Oval 193">
            <a:extLst>
              <a:ext uri="{FF2B5EF4-FFF2-40B4-BE49-F238E27FC236}">
                <a16:creationId xmlns:a16="http://schemas.microsoft.com/office/drawing/2014/main" id="{8AFC5A49-0550-49DE-9294-E1538408CC38}"/>
              </a:ext>
            </a:extLst>
          </xdr:cNvPr>
          <xdr:cNvSpPr/>
        </xdr:nvSpPr>
        <xdr:spPr>
          <a:xfrm>
            <a:off x="7357241" y="88610623"/>
            <a:ext cx="365137" cy="149240"/>
          </a:xfrm>
          <a:prstGeom prst="ellipse">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195" name="Straight Arrow Connector 194">
            <a:extLst>
              <a:ext uri="{FF2B5EF4-FFF2-40B4-BE49-F238E27FC236}">
                <a16:creationId xmlns:a16="http://schemas.microsoft.com/office/drawing/2014/main" id="{F41870CC-9895-4E1E-80F2-50C2CB5F804C}"/>
              </a:ext>
            </a:extLst>
          </xdr:cNvPr>
          <xdr:cNvCxnSpPr/>
        </xdr:nvCxnSpPr>
        <xdr:spPr>
          <a:xfrm flipV="1">
            <a:off x="7541172" y="88083259"/>
            <a:ext cx="0" cy="551793"/>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xnSp macro="">
        <xdr:nvCxnSpPr>
          <xdr:cNvPr id="196" name="Straight Arrow Connector 195">
            <a:extLst>
              <a:ext uri="{FF2B5EF4-FFF2-40B4-BE49-F238E27FC236}">
                <a16:creationId xmlns:a16="http://schemas.microsoft.com/office/drawing/2014/main" id="{41B8F2D9-3386-4372-85DF-5DC1CCB7ACA8}"/>
              </a:ext>
            </a:extLst>
          </xdr:cNvPr>
          <xdr:cNvCxnSpPr/>
        </xdr:nvCxnSpPr>
        <xdr:spPr>
          <a:xfrm flipV="1">
            <a:off x="7541172" y="87925604"/>
            <a:ext cx="0" cy="551793"/>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xnSp macro="">
        <xdr:nvCxnSpPr>
          <xdr:cNvPr id="200" name="Straight Connector 199">
            <a:extLst>
              <a:ext uri="{FF2B5EF4-FFF2-40B4-BE49-F238E27FC236}">
                <a16:creationId xmlns:a16="http://schemas.microsoft.com/office/drawing/2014/main" id="{958E7711-568F-45D7-8C74-CA0C5D6C3ACD}"/>
              </a:ext>
            </a:extLst>
          </xdr:cNvPr>
          <xdr:cNvCxnSpPr>
            <a:endCxn id="188" idx="6"/>
          </xdr:cNvCxnSpPr>
        </xdr:nvCxnSpPr>
        <xdr:spPr>
          <a:xfrm>
            <a:off x="7729357" y="90634515"/>
            <a:ext cx="179677" cy="1096"/>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202" name="TextBox 201">
            <a:extLst>
              <a:ext uri="{FF2B5EF4-FFF2-40B4-BE49-F238E27FC236}">
                <a16:creationId xmlns:a16="http://schemas.microsoft.com/office/drawing/2014/main" id="{6DFBD3AA-FC8E-4663-95C1-CDD8B286C309}"/>
              </a:ext>
            </a:extLst>
          </xdr:cNvPr>
          <xdr:cNvSpPr txBox="1"/>
        </xdr:nvSpPr>
        <xdr:spPr>
          <a:xfrm>
            <a:off x="7955616" y="90724744"/>
            <a:ext cx="947723" cy="363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K</a:t>
            </a:r>
            <a:r>
              <a:rPr lang="el-GR" sz="1100">
                <a:latin typeface="Cambria" panose="02040503050406030204" pitchFamily="18" charset="0"/>
              </a:rPr>
              <a:t>γ</a:t>
            </a:r>
            <a:r>
              <a:rPr lang="en-US" sz="1100"/>
              <a:t>D</a:t>
            </a:r>
            <a:r>
              <a:rPr lang="en-US" sz="1100" baseline="-25000"/>
              <a:t>shaft</a:t>
            </a:r>
          </a:p>
        </xdr:txBody>
      </xdr:sp>
      <xdr:sp macro="" textlink="">
        <xdr:nvSpPr>
          <xdr:cNvPr id="203" name="TextBox 202">
            <a:extLst>
              <a:ext uri="{FF2B5EF4-FFF2-40B4-BE49-F238E27FC236}">
                <a16:creationId xmlns:a16="http://schemas.microsoft.com/office/drawing/2014/main" id="{CB2A43CB-E30B-483F-8120-09E4923BFA5C}"/>
              </a:ext>
            </a:extLst>
          </xdr:cNvPr>
          <xdr:cNvSpPr txBox="1"/>
        </xdr:nvSpPr>
        <xdr:spPr>
          <a:xfrm>
            <a:off x="7541170" y="87818699"/>
            <a:ext cx="592859" cy="363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a:t>
            </a:r>
            <a:r>
              <a:rPr lang="en-US" sz="1100" baseline="-25000"/>
              <a:t>u</a:t>
            </a:r>
          </a:p>
        </xdr:txBody>
      </xdr:sp>
    </xdr:grpSp>
    <xdr:clientData/>
  </xdr:twoCellAnchor>
  <xdr:twoCellAnchor>
    <xdr:from>
      <xdr:col>26</xdr:col>
      <xdr:colOff>115956</xdr:colOff>
      <xdr:row>481</xdr:row>
      <xdr:rowOff>64937</xdr:rowOff>
    </xdr:from>
    <xdr:to>
      <xdr:col>27</xdr:col>
      <xdr:colOff>36833</xdr:colOff>
      <xdr:row>482</xdr:row>
      <xdr:rowOff>66400</xdr:rowOff>
    </xdr:to>
    <xdr:cxnSp macro="">
      <xdr:nvCxnSpPr>
        <xdr:cNvPr id="42" name="Connector: Curved 41">
          <a:extLst>
            <a:ext uri="{FF2B5EF4-FFF2-40B4-BE49-F238E27FC236}">
              <a16:creationId xmlns:a16="http://schemas.microsoft.com/office/drawing/2014/main" id="{A66AB7A1-3552-4081-9744-D41AEBABF1AE}"/>
            </a:ext>
          </a:extLst>
        </xdr:cNvPr>
        <xdr:cNvCxnSpPr>
          <a:stCxn id="202" idx="1"/>
        </xdr:cNvCxnSpPr>
      </xdr:nvCxnSpPr>
      <xdr:spPr>
        <a:xfrm rot="10800000">
          <a:off x="4853608" y="96027241"/>
          <a:ext cx="103095" cy="200246"/>
        </a:xfrm>
        <a:prstGeom prst="curvedConnector2">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42</xdr:col>
      <xdr:colOff>152402</xdr:colOff>
      <xdr:row>469</xdr:row>
      <xdr:rowOff>92904</xdr:rowOff>
    </xdr:from>
    <xdr:to>
      <xdr:col>50</xdr:col>
      <xdr:colOff>152402</xdr:colOff>
      <xdr:row>485</xdr:row>
      <xdr:rowOff>174765</xdr:rowOff>
    </xdr:to>
    <xdr:grpSp>
      <xdr:nvGrpSpPr>
        <xdr:cNvPr id="256" name="Group 255">
          <a:extLst>
            <a:ext uri="{FF2B5EF4-FFF2-40B4-BE49-F238E27FC236}">
              <a16:creationId xmlns:a16="http://schemas.microsoft.com/office/drawing/2014/main" id="{1DFE0851-690E-4DA0-9146-3EEB53E5C5CB}"/>
            </a:ext>
          </a:extLst>
        </xdr:cNvPr>
        <xdr:cNvGrpSpPr/>
      </xdr:nvGrpSpPr>
      <xdr:grpSpPr>
        <a:xfrm>
          <a:off x="8153402" y="95742954"/>
          <a:ext cx="1524000" cy="3333061"/>
          <a:chOff x="7173310" y="87818699"/>
          <a:chExt cx="1475725" cy="3233503"/>
        </a:xfrm>
      </xdr:grpSpPr>
      <xdr:cxnSp macro="">
        <xdr:nvCxnSpPr>
          <xdr:cNvPr id="257" name="Straight Connector 256">
            <a:extLst>
              <a:ext uri="{FF2B5EF4-FFF2-40B4-BE49-F238E27FC236}">
                <a16:creationId xmlns:a16="http://schemas.microsoft.com/office/drawing/2014/main" id="{E6EC7EFB-7C1E-4FC3-B312-06954830A189}"/>
              </a:ext>
            </a:extLst>
          </xdr:cNvPr>
          <xdr:cNvCxnSpPr>
            <a:stCxn id="263" idx="2"/>
          </xdr:cNvCxnSpPr>
        </xdr:nvCxnSpPr>
        <xdr:spPr>
          <a:xfrm flipH="1">
            <a:off x="7173310" y="88685243"/>
            <a:ext cx="183931" cy="1965249"/>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58" name="Straight Connector 257">
            <a:extLst>
              <a:ext uri="{FF2B5EF4-FFF2-40B4-BE49-F238E27FC236}">
                <a16:creationId xmlns:a16="http://schemas.microsoft.com/office/drawing/2014/main" id="{7153FF5A-83D4-4BB3-A6D2-7AE121C9435E}"/>
              </a:ext>
            </a:extLst>
          </xdr:cNvPr>
          <xdr:cNvCxnSpPr>
            <a:stCxn id="263" idx="6"/>
          </xdr:cNvCxnSpPr>
        </xdr:nvCxnSpPr>
        <xdr:spPr>
          <a:xfrm>
            <a:off x="7722378" y="88685243"/>
            <a:ext cx="186656" cy="1965249"/>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259" name="Oval 258">
            <a:extLst>
              <a:ext uri="{FF2B5EF4-FFF2-40B4-BE49-F238E27FC236}">
                <a16:creationId xmlns:a16="http://schemas.microsoft.com/office/drawing/2014/main" id="{A245288F-3BFD-4C8D-B06E-FCF4BCD4A62C}"/>
              </a:ext>
            </a:extLst>
          </xdr:cNvPr>
          <xdr:cNvSpPr/>
        </xdr:nvSpPr>
        <xdr:spPr>
          <a:xfrm>
            <a:off x="7173310" y="90441517"/>
            <a:ext cx="735724" cy="38818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260" name="Straight Connector 259">
            <a:extLst>
              <a:ext uri="{FF2B5EF4-FFF2-40B4-BE49-F238E27FC236}">
                <a16:creationId xmlns:a16="http://schemas.microsoft.com/office/drawing/2014/main" id="{35184E38-53C9-43F6-8A14-DB2C816EE2D9}"/>
              </a:ext>
            </a:extLst>
          </xdr:cNvPr>
          <xdr:cNvCxnSpPr>
            <a:stCxn id="263" idx="2"/>
          </xdr:cNvCxnSpPr>
        </xdr:nvCxnSpPr>
        <xdr:spPr>
          <a:xfrm>
            <a:off x="7357241" y="88685243"/>
            <a:ext cx="0" cy="1965249"/>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xnSp macro="">
        <xdr:nvCxnSpPr>
          <xdr:cNvPr id="261" name="Straight Connector 260">
            <a:extLst>
              <a:ext uri="{FF2B5EF4-FFF2-40B4-BE49-F238E27FC236}">
                <a16:creationId xmlns:a16="http://schemas.microsoft.com/office/drawing/2014/main" id="{2F1DE54C-A8B5-4A36-995D-1A5CA5E26AD1}"/>
              </a:ext>
            </a:extLst>
          </xdr:cNvPr>
          <xdr:cNvCxnSpPr>
            <a:stCxn id="263" idx="6"/>
          </xdr:cNvCxnSpPr>
        </xdr:nvCxnSpPr>
        <xdr:spPr>
          <a:xfrm>
            <a:off x="7722378" y="88685243"/>
            <a:ext cx="3954" cy="1947402"/>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sp macro="" textlink="">
        <xdr:nvSpPr>
          <xdr:cNvPr id="262" name="Oval 261">
            <a:extLst>
              <a:ext uri="{FF2B5EF4-FFF2-40B4-BE49-F238E27FC236}">
                <a16:creationId xmlns:a16="http://schemas.microsoft.com/office/drawing/2014/main" id="{71F8090B-2270-4690-8745-44A5290FB4E9}"/>
              </a:ext>
            </a:extLst>
          </xdr:cNvPr>
          <xdr:cNvSpPr/>
        </xdr:nvSpPr>
        <xdr:spPr>
          <a:xfrm>
            <a:off x="7357242" y="90551671"/>
            <a:ext cx="365137" cy="149240"/>
          </a:xfrm>
          <a:prstGeom prst="ellipse">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263" name="Oval 262">
            <a:extLst>
              <a:ext uri="{FF2B5EF4-FFF2-40B4-BE49-F238E27FC236}">
                <a16:creationId xmlns:a16="http://schemas.microsoft.com/office/drawing/2014/main" id="{AE67C38E-13FD-4F6E-9360-3888F7DD94A4}"/>
              </a:ext>
            </a:extLst>
          </xdr:cNvPr>
          <xdr:cNvSpPr/>
        </xdr:nvSpPr>
        <xdr:spPr>
          <a:xfrm>
            <a:off x="7357241" y="88610623"/>
            <a:ext cx="365137" cy="149240"/>
          </a:xfrm>
          <a:prstGeom prst="ellipse">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xnSp macro="">
        <xdr:nvCxnSpPr>
          <xdr:cNvPr id="264" name="Straight Arrow Connector 263">
            <a:extLst>
              <a:ext uri="{FF2B5EF4-FFF2-40B4-BE49-F238E27FC236}">
                <a16:creationId xmlns:a16="http://schemas.microsoft.com/office/drawing/2014/main" id="{37E4D27D-B16D-4853-BBE2-F977D05C1A52}"/>
              </a:ext>
            </a:extLst>
          </xdr:cNvPr>
          <xdr:cNvCxnSpPr/>
        </xdr:nvCxnSpPr>
        <xdr:spPr>
          <a:xfrm flipV="1">
            <a:off x="7541172" y="88083259"/>
            <a:ext cx="0" cy="551793"/>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xnSp macro="">
        <xdr:nvCxnSpPr>
          <xdr:cNvPr id="265" name="Straight Arrow Connector 264">
            <a:extLst>
              <a:ext uri="{FF2B5EF4-FFF2-40B4-BE49-F238E27FC236}">
                <a16:creationId xmlns:a16="http://schemas.microsoft.com/office/drawing/2014/main" id="{E38D5712-7B92-4628-AEB0-7CFE3BA4072F}"/>
              </a:ext>
            </a:extLst>
          </xdr:cNvPr>
          <xdr:cNvCxnSpPr/>
        </xdr:nvCxnSpPr>
        <xdr:spPr>
          <a:xfrm flipV="1">
            <a:off x="7541172" y="87925604"/>
            <a:ext cx="0" cy="551793"/>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xnSp macro="">
        <xdr:nvCxnSpPr>
          <xdr:cNvPr id="266" name="Straight Connector 265">
            <a:extLst>
              <a:ext uri="{FF2B5EF4-FFF2-40B4-BE49-F238E27FC236}">
                <a16:creationId xmlns:a16="http://schemas.microsoft.com/office/drawing/2014/main" id="{0BB881C5-6974-414E-AEEE-B64758B4F131}"/>
              </a:ext>
            </a:extLst>
          </xdr:cNvPr>
          <xdr:cNvCxnSpPr>
            <a:endCxn id="259" idx="6"/>
          </xdr:cNvCxnSpPr>
        </xdr:nvCxnSpPr>
        <xdr:spPr>
          <a:xfrm>
            <a:off x="7729357" y="90634515"/>
            <a:ext cx="179677" cy="1096"/>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267" name="TextBox 266">
            <a:extLst>
              <a:ext uri="{FF2B5EF4-FFF2-40B4-BE49-F238E27FC236}">
                <a16:creationId xmlns:a16="http://schemas.microsoft.com/office/drawing/2014/main" id="{14B94E66-0251-4D41-B453-3EDBD4F4DD37}"/>
              </a:ext>
            </a:extLst>
          </xdr:cNvPr>
          <xdr:cNvSpPr txBox="1"/>
        </xdr:nvSpPr>
        <xdr:spPr>
          <a:xfrm>
            <a:off x="8025246" y="90793326"/>
            <a:ext cx="623789" cy="258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K</a:t>
            </a:r>
            <a:r>
              <a:rPr lang="el-GR" sz="1100">
                <a:latin typeface="Cambria" panose="02040503050406030204" pitchFamily="18" charset="0"/>
              </a:rPr>
              <a:t>γ</a:t>
            </a:r>
            <a:r>
              <a:rPr lang="en-US" sz="1100"/>
              <a:t>D</a:t>
            </a:r>
            <a:r>
              <a:rPr lang="en-US" sz="1100" baseline="-25000"/>
              <a:t>shaft</a:t>
            </a:r>
          </a:p>
        </xdr:txBody>
      </xdr:sp>
      <xdr:sp macro="" textlink="">
        <xdr:nvSpPr>
          <xdr:cNvPr id="268" name="TextBox 267">
            <a:extLst>
              <a:ext uri="{FF2B5EF4-FFF2-40B4-BE49-F238E27FC236}">
                <a16:creationId xmlns:a16="http://schemas.microsoft.com/office/drawing/2014/main" id="{1C3C391F-0109-4A8D-9B01-8826CA9B0F35}"/>
              </a:ext>
            </a:extLst>
          </xdr:cNvPr>
          <xdr:cNvSpPr txBox="1"/>
        </xdr:nvSpPr>
        <xdr:spPr>
          <a:xfrm>
            <a:off x="7541172" y="87818699"/>
            <a:ext cx="3028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a:t>
            </a:r>
            <a:r>
              <a:rPr lang="en-US" sz="1100" baseline="-25000"/>
              <a:t>u</a:t>
            </a:r>
          </a:p>
        </xdr:txBody>
      </xdr:sp>
    </xdr:grpSp>
    <xdr:clientData/>
  </xdr:twoCellAnchor>
  <xdr:twoCellAnchor>
    <xdr:from>
      <xdr:col>4</xdr:col>
      <xdr:colOff>0</xdr:colOff>
      <xdr:row>46</xdr:row>
      <xdr:rowOff>97971</xdr:rowOff>
    </xdr:from>
    <xdr:to>
      <xdr:col>4</xdr:col>
      <xdr:colOff>0</xdr:colOff>
      <xdr:row>48</xdr:row>
      <xdr:rowOff>0</xdr:rowOff>
    </xdr:to>
    <xdr:cxnSp macro="">
      <xdr:nvCxnSpPr>
        <xdr:cNvPr id="100" name="Straight Arrow Connector 99">
          <a:extLst>
            <a:ext uri="{FF2B5EF4-FFF2-40B4-BE49-F238E27FC236}">
              <a16:creationId xmlns:a16="http://schemas.microsoft.com/office/drawing/2014/main" id="{D7A551B6-621A-4B66-B224-401DF4B6B3BD}"/>
            </a:ext>
          </a:extLst>
        </xdr:cNvPr>
        <xdr:cNvCxnSpPr/>
      </xdr:nvCxnSpPr>
      <xdr:spPr>
        <a:xfrm>
          <a:off x="718457" y="9361714"/>
          <a:ext cx="0" cy="304800"/>
        </a:xfrm>
        <a:prstGeom prst="straightConnector1">
          <a:avLst/>
        </a:prstGeom>
        <a:ln>
          <a:headEnd type="triangle" w="sm" len="lg"/>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54429</xdr:colOff>
      <xdr:row>58</xdr:row>
      <xdr:rowOff>168728</xdr:rowOff>
    </xdr:from>
    <xdr:to>
      <xdr:col>2</xdr:col>
      <xdr:colOff>54429</xdr:colOff>
      <xdr:row>59</xdr:row>
      <xdr:rowOff>168728</xdr:rowOff>
    </xdr:to>
    <xdr:cxnSp macro="">
      <xdr:nvCxnSpPr>
        <xdr:cNvPr id="116" name="Straight Arrow Connector 115">
          <a:extLst>
            <a:ext uri="{FF2B5EF4-FFF2-40B4-BE49-F238E27FC236}">
              <a16:creationId xmlns:a16="http://schemas.microsoft.com/office/drawing/2014/main" id="{EDE1EB39-6ACE-408A-B32C-B857EC73BC73}"/>
            </a:ext>
          </a:extLst>
        </xdr:cNvPr>
        <xdr:cNvCxnSpPr/>
      </xdr:nvCxnSpPr>
      <xdr:spPr>
        <a:xfrm flipV="1">
          <a:off x="413658" y="11849099"/>
          <a:ext cx="0" cy="201386"/>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54428</xdr:colOff>
      <xdr:row>57</xdr:row>
      <xdr:rowOff>163285</xdr:rowOff>
    </xdr:from>
    <xdr:to>
      <xdr:col>2</xdr:col>
      <xdr:colOff>54428</xdr:colOff>
      <xdr:row>58</xdr:row>
      <xdr:rowOff>163286</xdr:rowOff>
    </xdr:to>
    <xdr:cxnSp macro="">
      <xdr:nvCxnSpPr>
        <xdr:cNvPr id="119" name="Straight Arrow Connector 118">
          <a:extLst>
            <a:ext uri="{FF2B5EF4-FFF2-40B4-BE49-F238E27FC236}">
              <a16:creationId xmlns:a16="http://schemas.microsoft.com/office/drawing/2014/main" id="{E40DBAE8-7BF9-4A9A-B171-FDB7E628018E}"/>
            </a:ext>
          </a:extLst>
        </xdr:cNvPr>
        <xdr:cNvCxnSpPr/>
      </xdr:nvCxnSpPr>
      <xdr:spPr>
        <a:xfrm>
          <a:off x="413657" y="11642271"/>
          <a:ext cx="0" cy="201386"/>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29617</xdr:colOff>
      <xdr:row>471</xdr:row>
      <xdr:rowOff>100249</xdr:rowOff>
    </xdr:from>
    <xdr:ext cx="1382173" cy="321691"/>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D7FE9E13-DA97-4D78-A531-09DF6E562CBE}"/>
                </a:ext>
              </a:extLst>
            </xdr:cNvPr>
            <xdr:cNvSpPr txBox="1"/>
          </xdr:nvSpPr>
          <xdr:spPr>
            <a:xfrm>
              <a:off x="2034008" y="94074727"/>
              <a:ext cx="1382173" cy="3216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𝑇</m:t>
                        </m:r>
                      </m:e>
                      <m:sub>
                        <m:r>
                          <a:rPr lang="en-US" sz="1000" b="0" i="1">
                            <a:latin typeface="Cambria Math" panose="02040503050406030204" pitchFamily="18" charset="0"/>
                          </a:rPr>
                          <m:t>𝑠</m:t>
                        </m:r>
                      </m:sub>
                    </m:sSub>
                    <m:r>
                      <a:rPr lang="en-US" sz="1000" b="0" i="1">
                        <a:latin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𝜋</m:t>
                        </m:r>
                        <m:r>
                          <a:rPr lang="en-US" sz="1000" b="0" i="1">
                            <a:latin typeface="Cambria Math" panose="02040503050406030204" pitchFamily="18" charset="0"/>
                            <a:ea typeface="Cambria Math" panose="02040503050406030204" pitchFamily="18" charset="0"/>
                          </a:rPr>
                          <m:t>∙</m:t>
                        </m:r>
                        <m:sSubSup>
                          <m:sSubSupPr>
                            <m:ctrlPr>
                              <a:rPr lang="en-US" sz="1000" b="0" i="1">
                                <a:latin typeface="Cambria Math" panose="02040503050406030204" pitchFamily="18" charset="0"/>
                                <a:ea typeface="Cambria Math" panose="02040503050406030204" pitchFamily="18" charset="0"/>
                              </a:rPr>
                            </m:ctrlPr>
                          </m:sSubSupPr>
                          <m:e>
                            <m:r>
                              <a:rPr lang="en-US" sz="1000" b="0" i="1">
                                <a:latin typeface="Cambria Math" panose="02040503050406030204" pitchFamily="18" charset="0"/>
                                <a:ea typeface="Cambria Math" panose="02040503050406030204" pitchFamily="18" charset="0"/>
                              </a:rPr>
                              <m:t>∅</m:t>
                            </m:r>
                          </m:e>
                          <m:sub>
                            <m:r>
                              <a:rPr lang="en-US" sz="1000" b="0" i="1">
                                <a:latin typeface="Cambria Math" panose="02040503050406030204" pitchFamily="18" charset="0"/>
                                <a:ea typeface="Cambria Math" panose="02040503050406030204" pitchFamily="18" charset="0"/>
                              </a:rPr>
                              <m:t>𝑠h𝑎𝑓𝑡</m:t>
                            </m:r>
                          </m:sub>
                          <m:sup>
                            <m:r>
                              <a:rPr lang="en-US" sz="1000" b="0" i="1">
                                <a:latin typeface="Cambria Math" panose="02040503050406030204" pitchFamily="18" charset="0"/>
                                <a:ea typeface="Cambria Math" panose="02040503050406030204" pitchFamily="18" charset="0"/>
                              </a:rPr>
                              <m:t>2</m:t>
                            </m:r>
                          </m:sup>
                        </m:sSubSup>
                      </m:num>
                      <m:den>
                        <m:r>
                          <a:rPr lang="en-US" sz="1000" b="0" i="1">
                            <a:latin typeface="Cambria Math" panose="02040503050406030204" pitchFamily="18" charset="0"/>
                            <a:ea typeface="Cambria Math" panose="02040503050406030204" pitchFamily="18" charset="0"/>
                          </a:rPr>
                          <m:t>2</m:t>
                        </m:r>
                      </m:den>
                    </m:f>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𝐷</m:t>
                        </m:r>
                      </m:e>
                      <m:sub>
                        <m:r>
                          <a:rPr lang="en-US" sz="1000" b="0" i="1">
                            <a:latin typeface="Cambria Math" panose="02040503050406030204" pitchFamily="18" charset="0"/>
                            <a:ea typeface="Cambria Math" panose="02040503050406030204" pitchFamily="18" charset="0"/>
                          </a:rPr>
                          <m:t>𝑠h𝑎𝑓𝑡</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𝑟</m:t>
                        </m:r>
                      </m:e>
                      <m:sub>
                        <m:r>
                          <a:rPr lang="en-US" sz="1000" b="0" i="1">
                            <a:latin typeface="Cambria Math" panose="02040503050406030204" pitchFamily="18" charset="0"/>
                            <a:ea typeface="Cambria Math" panose="02040503050406030204" pitchFamily="18" charset="0"/>
                          </a:rPr>
                          <m:t>𝑠</m:t>
                        </m:r>
                      </m:sub>
                    </m:sSub>
                  </m:oMath>
                </m:oMathPara>
              </a14:m>
              <a:endParaRPr lang="en-US" sz="1100"/>
            </a:p>
          </xdr:txBody>
        </xdr:sp>
      </mc:Choice>
      <mc:Fallback xmlns="">
        <xdr:sp macro="" textlink="">
          <xdr:nvSpPr>
            <xdr:cNvPr id="24" name="TextBox 23">
              <a:extLst>
                <a:ext uri="{FF2B5EF4-FFF2-40B4-BE49-F238E27FC236}">
                  <a16:creationId xmlns:a16="http://schemas.microsoft.com/office/drawing/2014/main" id="{D7FE9E13-DA97-4D78-A531-09DF6E562CBE}"/>
                </a:ext>
              </a:extLst>
            </xdr:cNvPr>
            <xdr:cNvSpPr txBox="1"/>
          </xdr:nvSpPr>
          <xdr:spPr>
            <a:xfrm>
              <a:off x="2034008" y="94074727"/>
              <a:ext cx="1382173" cy="3216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𝑇_𝑠=</a:t>
              </a:r>
              <a:r>
                <a:rPr lang="en-US" sz="1000" b="0" i="0">
                  <a:latin typeface="Cambria Math" panose="02040503050406030204" pitchFamily="18" charset="0"/>
                  <a:ea typeface="Cambria Math" panose="02040503050406030204" pitchFamily="18" charset="0"/>
                </a:rPr>
                <a:t>(𝜋∙∅_𝑠ℎ𝑎𝑓𝑡^2)/2 𝐷_𝑠ℎ𝑎𝑓𝑡∙𝑟_𝑠</a:t>
              </a:r>
              <a:endParaRPr lang="en-US" sz="1100"/>
            </a:p>
          </xdr:txBody>
        </xdr:sp>
      </mc:Fallback>
    </mc:AlternateContent>
    <xdr:clientData/>
  </xdr:oneCellAnchor>
  <xdr:oneCellAnchor>
    <xdr:from>
      <xdr:col>11</xdr:col>
      <xdr:colOff>56564</xdr:colOff>
      <xdr:row>473</xdr:row>
      <xdr:rowOff>140390</xdr:rowOff>
    </xdr:from>
    <xdr:ext cx="1181734" cy="297774"/>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A4D419D8-1E9C-4BB2-A407-10287DC51BBA}"/>
                </a:ext>
              </a:extLst>
            </xdr:cNvPr>
            <xdr:cNvSpPr txBox="1"/>
          </xdr:nvSpPr>
          <xdr:spPr>
            <a:xfrm>
              <a:off x="2060955" y="94512433"/>
              <a:ext cx="1181734" cy="2977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𝑇</m:t>
                        </m:r>
                      </m:e>
                      <m:sub>
                        <m:r>
                          <a:rPr lang="en-US" sz="1000" b="0" i="1">
                            <a:latin typeface="Cambria Math" panose="02040503050406030204" pitchFamily="18" charset="0"/>
                          </a:rPr>
                          <m:t>𝑡</m:t>
                        </m:r>
                      </m:sub>
                    </m:sSub>
                    <m:r>
                      <a:rPr lang="en-US" sz="1000" b="0" i="1">
                        <a:latin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m:t>
                            </m:r>
                          </m:e>
                          <m:sub>
                            <m:r>
                              <a:rPr lang="en-US" sz="1000" b="0" i="1">
                                <a:latin typeface="Cambria Math" panose="02040503050406030204" pitchFamily="18" charset="0"/>
                                <a:ea typeface="Cambria Math" panose="02040503050406030204" pitchFamily="18" charset="0"/>
                              </a:rPr>
                              <m:t>𝑠h𝑎𝑓𝑡</m:t>
                            </m:r>
                          </m:sub>
                        </m:sSub>
                      </m:num>
                      <m:den>
                        <m:r>
                          <a:rPr lang="en-US" sz="1000" b="0" i="1">
                            <a:latin typeface="Cambria Math" panose="02040503050406030204" pitchFamily="18" charset="0"/>
                            <a:ea typeface="Cambria Math" panose="02040503050406030204" pitchFamily="18" charset="0"/>
                          </a:rPr>
                          <m:t>3</m:t>
                        </m:r>
                      </m:den>
                    </m:f>
                    <m:r>
                      <a:rPr lang="en-US" sz="1000" b="0" i="1">
                        <a:latin typeface="Cambria Math" panose="02040503050406030204" pitchFamily="18" charset="0"/>
                        <a:ea typeface="Cambria Math" panose="02040503050406030204" pitchFamily="18" charset="0"/>
                      </a:rPr>
                      <m:t>𝑊</m:t>
                    </m:r>
                    <m:r>
                      <a:rPr lang="en-US" sz="1000" b="0" i="1">
                        <a:latin typeface="Cambria Math" panose="02040503050406030204" pitchFamily="18" charset="0"/>
                        <a:ea typeface="Cambria Math" panose="02040503050406030204" pitchFamily="18" charset="0"/>
                      </a:rPr>
                      <m:t>∙</m:t>
                    </m:r>
                    <m:r>
                      <a:rPr lang="en-US" sz="1000" b="0" i="1">
                        <a:latin typeface="Cambria Math" panose="02040503050406030204" pitchFamily="18" charset="0"/>
                        <a:ea typeface="Cambria Math" panose="02040503050406030204" pitchFamily="18" charset="0"/>
                      </a:rPr>
                      <m:t>𝑡𝑎𝑛</m:t>
                    </m:r>
                    <m:r>
                      <a:rPr lang="en-US" sz="1000" b="0" i="1">
                        <a:latin typeface="Cambria Math" panose="02040503050406030204" pitchFamily="18" charset="0"/>
                        <a:ea typeface="Cambria Math" panose="02040503050406030204" pitchFamily="18" charset="0"/>
                      </a:rPr>
                      <m:t>𝜑</m:t>
                    </m:r>
                  </m:oMath>
                </m:oMathPara>
              </a14:m>
              <a:endParaRPr lang="en-US" sz="1100"/>
            </a:p>
          </xdr:txBody>
        </xdr:sp>
      </mc:Choice>
      <mc:Fallback xmlns="">
        <xdr:sp macro="" textlink="">
          <xdr:nvSpPr>
            <xdr:cNvPr id="33" name="TextBox 32">
              <a:extLst>
                <a:ext uri="{FF2B5EF4-FFF2-40B4-BE49-F238E27FC236}">
                  <a16:creationId xmlns:a16="http://schemas.microsoft.com/office/drawing/2014/main" id="{A4D419D8-1E9C-4BB2-A407-10287DC51BBA}"/>
                </a:ext>
              </a:extLst>
            </xdr:cNvPr>
            <xdr:cNvSpPr txBox="1"/>
          </xdr:nvSpPr>
          <xdr:spPr>
            <a:xfrm>
              <a:off x="2060955" y="94512433"/>
              <a:ext cx="1181734" cy="2977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𝑇_𝑡=</a:t>
              </a:r>
              <a:r>
                <a:rPr lang="en-US" sz="1000" b="0" i="0">
                  <a:latin typeface="Cambria Math" panose="02040503050406030204" pitchFamily="18" charset="0"/>
                  <a:ea typeface="Cambria Math" panose="02040503050406030204" pitchFamily="18" charset="0"/>
                </a:rPr>
                <a:t>∅_𝑠ℎ𝑎𝑓𝑡/3 𝑊∙𝑡𝑎𝑛𝜑</a:t>
              </a:r>
              <a:endParaRPr lang="en-US" sz="1100"/>
            </a:p>
          </xdr:txBody>
        </xdr:sp>
      </mc:Fallback>
    </mc:AlternateContent>
    <xdr:clientData/>
  </xdr:oneCellAnchor>
  <xdr:oneCellAnchor>
    <xdr:from>
      <xdr:col>9</xdr:col>
      <xdr:colOff>46475</xdr:colOff>
      <xdr:row>478</xdr:row>
      <xdr:rowOff>125140</xdr:rowOff>
    </xdr:from>
    <xdr:ext cx="1256433" cy="291426"/>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B3B0701D-046A-4B98-B965-98610F64E52C}"/>
                </a:ext>
              </a:extLst>
            </xdr:cNvPr>
            <xdr:cNvSpPr txBox="1"/>
          </xdr:nvSpPr>
          <xdr:spPr>
            <a:xfrm>
              <a:off x="1686432" y="95491097"/>
              <a:ext cx="1256433" cy="291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𝑟</m:t>
                        </m:r>
                      </m:e>
                      <m:sub>
                        <m:r>
                          <a:rPr lang="en-US" sz="1000" b="0" i="1">
                            <a:latin typeface="Cambria Math" panose="02040503050406030204" pitchFamily="18" charset="0"/>
                          </a:rPr>
                          <m:t>𝑠</m:t>
                        </m:r>
                      </m:sub>
                    </m:sSub>
                    <m:r>
                      <a:rPr lang="en-US" sz="1000" b="0" i="1">
                        <a:latin typeface="Cambria Math" panose="02040503050406030204" pitchFamily="18" charset="0"/>
                      </a:rPr>
                      <m:t>=</m:t>
                    </m:r>
                    <m:r>
                      <a:rPr lang="en-US" sz="1000" b="0" i="1">
                        <a:latin typeface="Cambria Math" panose="02040503050406030204" pitchFamily="18" charset="0"/>
                      </a:rPr>
                      <m:t>𝐾</m:t>
                    </m:r>
                    <m:r>
                      <a:rPr lang="en-US" sz="1000" b="0" i="1">
                        <a:latin typeface="Cambria Math" panose="02040503050406030204" pitchFamily="18" charset="0"/>
                        <a:ea typeface="Cambria Math" panose="02040503050406030204" pitchFamily="18" charset="0"/>
                      </a:rPr>
                      <m:t>𝛾</m:t>
                    </m:r>
                    <m:f>
                      <m:fPr>
                        <m:ctrlPr>
                          <a:rPr lang="en-US" sz="1000" b="0" i="1">
                            <a:latin typeface="Cambria Math" panose="02040503050406030204" pitchFamily="18" charset="0"/>
                            <a:ea typeface="Cambria Math" panose="02040503050406030204" pitchFamily="18" charset="0"/>
                          </a:rPr>
                        </m:ctrlPr>
                      </m:fPr>
                      <m:num>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𝐷</m:t>
                            </m:r>
                          </m:e>
                          <m:sub>
                            <m:r>
                              <a:rPr lang="en-US" sz="1000" b="0" i="1">
                                <a:latin typeface="Cambria Math" panose="02040503050406030204" pitchFamily="18" charset="0"/>
                                <a:ea typeface="Cambria Math" panose="02040503050406030204" pitchFamily="18" charset="0"/>
                              </a:rPr>
                              <m:t>𝑠h𝑎𝑓𝑡</m:t>
                            </m:r>
                          </m:sub>
                        </m:sSub>
                      </m:num>
                      <m:den>
                        <m:r>
                          <a:rPr lang="en-US" sz="1000" b="0" i="1">
                            <a:latin typeface="Cambria Math" panose="02040503050406030204" pitchFamily="18" charset="0"/>
                            <a:ea typeface="Cambria Math" panose="02040503050406030204" pitchFamily="18" charset="0"/>
                          </a:rPr>
                          <m:t>2</m:t>
                        </m:r>
                      </m:den>
                    </m:f>
                    <m:r>
                      <a:rPr lang="en-US" sz="1000" b="0" i="1">
                        <a:latin typeface="Cambria Math" panose="02040503050406030204" pitchFamily="18" charset="0"/>
                        <a:ea typeface="Cambria Math" panose="02040503050406030204" pitchFamily="18" charset="0"/>
                      </a:rPr>
                      <m:t>𝑡𝑎𝑛</m:t>
                    </m:r>
                    <m:r>
                      <a:rPr lang="en-US" sz="1000" b="0" i="1">
                        <a:latin typeface="Cambria Math" panose="02040503050406030204" pitchFamily="18" charset="0"/>
                        <a:ea typeface="Cambria Math" panose="02040503050406030204" pitchFamily="18" charset="0"/>
                      </a:rPr>
                      <m:t>𝜑</m:t>
                    </m:r>
                    <m:r>
                      <a:rPr lang="en-US" sz="1000" b="0" i="1">
                        <a:latin typeface="Cambria Math" panose="02040503050406030204" pitchFamily="18" charset="0"/>
                        <a:ea typeface="Cambria Math" panose="02040503050406030204" pitchFamily="18" charset="0"/>
                      </a:rPr>
                      <m:t>=</m:t>
                    </m:r>
                  </m:oMath>
                </m:oMathPara>
              </a14:m>
              <a:endParaRPr lang="en-US" sz="1100"/>
            </a:p>
          </xdr:txBody>
        </xdr:sp>
      </mc:Choice>
      <mc:Fallback xmlns="">
        <xdr:sp macro="" textlink="">
          <xdr:nvSpPr>
            <xdr:cNvPr id="34" name="TextBox 33">
              <a:extLst>
                <a:ext uri="{FF2B5EF4-FFF2-40B4-BE49-F238E27FC236}">
                  <a16:creationId xmlns:a16="http://schemas.microsoft.com/office/drawing/2014/main" id="{B3B0701D-046A-4B98-B965-98610F64E52C}"/>
                </a:ext>
              </a:extLst>
            </xdr:cNvPr>
            <xdr:cNvSpPr txBox="1"/>
          </xdr:nvSpPr>
          <xdr:spPr>
            <a:xfrm>
              <a:off x="1686432" y="95491097"/>
              <a:ext cx="1256433" cy="291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𝑟_𝑠=𝐾</a:t>
              </a:r>
              <a:r>
                <a:rPr lang="en-US" sz="1000" b="0" i="0">
                  <a:latin typeface="Cambria Math" panose="02040503050406030204" pitchFamily="18" charset="0"/>
                  <a:ea typeface="Cambria Math" panose="02040503050406030204" pitchFamily="18" charset="0"/>
                </a:rPr>
                <a:t>𝛾 𝐷_𝑠ℎ𝑎𝑓𝑡/2 𝑡𝑎𝑛𝜑=</a:t>
              </a:r>
              <a:endParaRPr lang="en-US" sz="1100"/>
            </a:p>
          </xdr:txBody>
        </xdr:sp>
      </mc:Fallback>
    </mc:AlternateContent>
    <xdr:clientData/>
  </xdr:oneCellAnchor>
  <xdr:oneCellAnchor>
    <xdr:from>
      <xdr:col>10</xdr:col>
      <xdr:colOff>55891</xdr:colOff>
      <xdr:row>446</xdr:row>
      <xdr:rowOff>108532</xdr:rowOff>
    </xdr:from>
    <xdr:ext cx="2129493" cy="321691"/>
    <mc:AlternateContent xmlns:mc="http://schemas.openxmlformats.org/markup-compatibility/2006" xmlns:a14="http://schemas.microsoft.com/office/drawing/2010/main">
      <mc:Choice Requires="a14">
        <xdr:sp macro="" textlink="">
          <xdr:nvSpPr>
            <xdr:cNvPr id="197" name="TextBox 196">
              <a:extLst>
                <a:ext uri="{FF2B5EF4-FFF2-40B4-BE49-F238E27FC236}">
                  <a16:creationId xmlns:a16="http://schemas.microsoft.com/office/drawing/2014/main" id="{7D8BD8F9-DAD7-487E-85B1-5C855DC4A32F}"/>
                </a:ext>
              </a:extLst>
            </xdr:cNvPr>
            <xdr:cNvSpPr txBox="1"/>
          </xdr:nvSpPr>
          <xdr:spPr>
            <a:xfrm>
              <a:off x="1895201" y="88388860"/>
              <a:ext cx="2129493" cy="3216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𝑇</m:t>
                        </m:r>
                      </m:e>
                      <m:sub>
                        <m:r>
                          <a:rPr lang="en-US" sz="1000" b="0" i="1">
                            <a:latin typeface="Cambria Math" panose="02040503050406030204" pitchFamily="18" charset="0"/>
                          </a:rPr>
                          <m:t>𝑠</m:t>
                        </m:r>
                      </m:sub>
                    </m:sSub>
                    <m:r>
                      <a:rPr lang="en-US" sz="1000" b="0" i="1">
                        <a:latin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𝜋</m:t>
                        </m:r>
                        <m:r>
                          <a:rPr lang="en-US" sz="1000" b="0" i="1">
                            <a:latin typeface="Cambria Math" panose="02040503050406030204" pitchFamily="18" charset="0"/>
                            <a:ea typeface="Cambria Math" panose="02040503050406030204" pitchFamily="18" charset="0"/>
                          </a:rPr>
                          <m:t>∙</m:t>
                        </m:r>
                        <m:sSubSup>
                          <m:sSubSupPr>
                            <m:ctrlPr>
                              <a:rPr lang="en-US" sz="1000" b="0" i="1">
                                <a:latin typeface="Cambria Math" panose="02040503050406030204" pitchFamily="18" charset="0"/>
                                <a:ea typeface="Cambria Math" panose="02040503050406030204" pitchFamily="18" charset="0"/>
                              </a:rPr>
                            </m:ctrlPr>
                          </m:sSubSupPr>
                          <m:e>
                            <m:r>
                              <a:rPr lang="en-US" sz="1000" b="0" i="1">
                                <a:latin typeface="Cambria Math" panose="02040503050406030204" pitchFamily="18" charset="0"/>
                                <a:ea typeface="Cambria Math" panose="02040503050406030204" pitchFamily="18" charset="0"/>
                              </a:rPr>
                              <m:t>∅</m:t>
                            </m:r>
                          </m:e>
                          <m:sub>
                            <m:r>
                              <a:rPr lang="en-US" sz="1000" b="0" i="1">
                                <a:latin typeface="Cambria Math" panose="02040503050406030204" pitchFamily="18" charset="0"/>
                                <a:ea typeface="Cambria Math" panose="02040503050406030204" pitchFamily="18" charset="0"/>
                              </a:rPr>
                              <m:t>𝑠h𝑎𝑓𝑡</m:t>
                            </m:r>
                          </m:sub>
                          <m:sup>
                            <m:r>
                              <a:rPr lang="en-US" sz="1000" b="0" i="1">
                                <a:latin typeface="Cambria Math" panose="02040503050406030204" pitchFamily="18" charset="0"/>
                                <a:ea typeface="Cambria Math" panose="02040503050406030204" pitchFamily="18" charset="0"/>
                              </a:rPr>
                              <m:t>2</m:t>
                            </m:r>
                          </m:sup>
                        </m:sSubSup>
                      </m:num>
                      <m:den>
                        <m:r>
                          <a:rPr lang="en-US" sz="1000" b="0" i="1">
                            <a:latin typeface="Cambria Math" panose="02040503050406030204" pitchFamily="18" charset="0"/>
                            <a:ea typeface="Cambria Math" panose="02040503050406030204" pitchFamily="18" charset="0"/>
                          </a:rPr>
                          <m:t>2</m:t>
                        </m:r>
                      </m:den>
                    </m:f>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m:t>
                        </m:r>
                        <m:r>
                          <a:rPr lang="en-US" sz="1000" b="0" i="1">
                            <a:latin typeface="Cambria Math" panose="02040503050406030204" pitchFamily="18" charset="0"/>
                            <a:ea typeface="Cambria Math" panose="02040503050406030204" pitchFamily="18" charset="0"/>
                          </a:rPr>
                          <m:t>𝐷</m:t>
                        </m:r>
                      </m:e>
                      <m:sub>
                        <m:r>
                          <a:rPr lang="en-US" sz="1000" b="0" i="1">
                            <a:latin typeface="Cambria Math" panose="02040503050406030204" pitchFamily="18" charset="0"/>
                            <a:ea typeface="Cambria Math" panose="02040503050406030204" pitchFamily="18" charset="0"/>
                          </a:rPr>
                          <m:t>𝑠h𝑎𝑓𝑡</m:t>
                        </m:r>
                      </m:sub>
                    </m:sSub>
                    <m:r>
                      <a:rPr lang="en-US" sz="1000" b="0" i="1">
                        <a:latin typeface="Cambria Math" panose="02040503050406030204" pitchFamily="18" charset="0"/>
                        <a:ea typeface="Cambria Math" panose="02040503050406030204" pitchFamily="18" charset="0"/>
                      </a:rPr>
                      <m:t>−1.5</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m:t>
                        </m:r>
                      </m:e>
                      <m:sub>
                        <m:r>
                          <a:rPr lang="en-US" sz="1000" b="0" i="1">
                            <a:latin typeface="Cambria Math" panose="02040503050406030204" pitchFamily="18" charset="0"/>
                            <a:ea typeface="Cambria Math" panose="02040503050406030204" pitchFamily="18" charset="0"/>
                          </a:rPr>
                          <m:t>𝑠h𝑎𝑓𝑡</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𝑠</m:t>
                        </m:r>
                      </m:e>
                      <m:sub>
                        <m:r>
                          <a:rPr lang="en-US" sz="1000" b="0" i="1">
                            <a:latin typeface="Cambria Math" panose="02040503050406030204" pitchFamily="18" charset="0"/>
                            <a:ea typeface="Cambria Math" panose="02040503050406030204" pitchFamily="18" charset="0"/>
                          </a:rPr>
                          <m:t>𝑢</m:t>
                        </m:r>
                      </m:sub>
                    </m:sSub>
                  </m:oMath>
                </m:oMathPara>
              </a14:m>
              <a:endParaRPr lang="en-US" sz="1100"/>
            </a:p>
          </xdr:txBody>
        </xdr:sp>
      </mc:Choice>
      <mc:Fallback xmlns="">
        <xdr:sp macro="" textlink="">
          <xdr:nvSpPr>
            <xdr:cNvPr id="197" name="TextBox 196">
              <a:extLst>
                <a:ext uri="{FF2B5EF4-FFF2-40B4-BE49-F238E27FC236}">
                  <a16:creationId xmlns:a16="http://schemas.microsoft.com/office/drawing/2014/main" id="{7D8BD8F9-DAD7-487E-85B1-5C855DC4A32F}"/>
                </a:ext>
              </a:extLst>
            </xdr:cNvPr>
            <xdr:cNvSpPr txBox="1"/>
          </xdr:nvSpPr>
          <xdr:spPr>
            <a:xfrm>
              <a:off x="1895201" y="88388860"/>
              <a:ext cx="2129493" cy="3216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000" b="0" i="0">
                  <a:latin typeface="Cambria Math" panose="02040503050406030204" pitchFamily="18" charset="0"/>
                </a:rPr>
                <a:t>𝑇_𝑠=</a:t>
              </a:r>
              <a:r>
                <a:rPr lang="en-US" sz="1000" b="0" i="0">
                  <a:latin typeface="Cambria Math" panose="02040503050406030204" pitchFamily="18" charset="0"/>
                  <a:ea typeface="Cambria Math" panose="02040503050406030204" pitchFamily="18" charset="0"/>
                </a:rPr>
                <a:t>(𝜋∙∅_𝑠ℎ𝑎𝑓𝑡^2)/2 〖(𝐷〗_𝑠ℎ𝑎𝑓𝑡−1.5∅_𝑠ℎ𝑎𝑓𝑡)∙𝑠_𝑢</a:t>
              </a:r>
              <a:endParaRPr lang="en-US" sz="1100"/>
            </a:p>
          </xdr:txBody>
        </xdr:sp>
      </mc:Fallback>
    </mc:AlternateContent>
    <xdr:clientData/>
  </xdr:oneCellAnchor>
  <xdr:oneCellAnchor>
    <xdr:from>
      <xdr:col>10</xdr:col>
      <xdr:colOff>66273</xdr:colOff>
      <xdr:row>448</xdr:row>
      <xdr:rowOff>115542</xdr:rowOff>
    </xdr:from>
    <xdr:ext cx="969945" cy="322461"/>
    <mc:AlternateContent xmlns:mc="http://schemas.openxmlformats.org/markup-compatibility/2006" xmlns:a14="http://schemas.microsoft.com/office/drawing/2010/main">
      <mc:Choice Requires="a14">
        <xdr:sp macro="" textlink="">
          <xdr:nvSpPr>
            <xdr:cNvPr id="198" name="TextBox 197">
              <a:extLst>
                <a:ext uri="{FF2B5EF4-FFF2-40B4-BE49-F238E27FC236}">
                  <a16:creationId xmlns:a16="http://schemas.microsoft.com/office/drawing/2014/main" id="{B36A8C4D-2B97-4E96-A733-E341E11156FC}"/>
                </a:ext>
              </a:extLst>
            </xdr:cNvPr>
            <xdr:cNvSpPr txBox="1"/>
          </xdr:nvSpPr>
          <xdr:spPr>
            <a:xfrm>
              <a:off x="1905583" y="88790008"/>
              <a:ext cx="969945" cy="322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𝑇</m:t>
                        </m:r>
                      </m:e>
                      <m:sub>
                        <m:r>
                          <a:rPr lang="en-US" sz="1000" b="0" i="1">
                            <a:latin typeface="Cambria Math" panose="02040503050406030204" pitchFamily="18" charset="0"/>
                          </a:rPr>
                          <m:t>𝑡</m:t>
                        </m:r>
                      </m:sub>
                    </m:sSub>
                    <m:r>
                      <a:rPr lang="en-US" sz="1000" b="0" i="1">
                        <a:latin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𝜋</m:t>
                        </m:r>
                        <m:r>
                          <a:rPr lang="en-US" sz="1000" b="0" i="1">
                            <a:latin typeface="Cambria Math" panose="02040503050406030204" pitchFamily="18" charset="0"/>
                            <a:ea typeface="Cambria Math" panose="02040503050406030204" pitchFamily="18" charset="0"/>
                          </a:rPr>
                          <m:t>∙</m:t>
                        </m:r>
                        <m:sSubSup>
                          <m:sSubSupPr>
                            <m:ctrlPr>
                              <a:rPr lang="en-US" sz="1000" b="0" i="1">
                                <a:latin typeface="Cambria Math" panose="02040503050406030204" pitchFamily="18" charset="0"/>
                                <a:ea typeface="Cambria Math" panose="02040503050406030204" pitchFamily="18" charset="0"/>
                              </a:rPr>
                            </m:ctrlPr>
                          </m:sSubSupPr>
                          <m:e>
                            <m:r>
                              <a:rPr lang="en-US" sz="1000" b="0" i="1">
                                <a:latin typeface="Cambria Math" panose="02040503050406030204" pitchFamily="18" charset="0"/>
                                <a:ea typeface="Cambria Math" panose="02040503050406030204" pitchFamily="18" charset="0"/>
                              </a:rPr>
                              <m:t>∅</m:t>
                            </m:r>
                          </m:e>
                          <m:sub>
                            <m:r>
                              <a:rPr lang="en-US" sz="1000" b="0" i="1">
                                <a:latin typeface="Cambria Math" panose="02040503050406030204" pitchFamily="18" charset="0"/>
                                <a:ea typeface="Cambria Math" panose="02040503050406030204" pitchFamily="18" charset="0"/>
                              </a:rPr>
                              <m:t>𝑠h𝑎𝑓𝑡</m:t>
                            </m:r>
                          </m:sub>
                          <m:sup>
                            <m:r>
                              <a:rPr lang="en-US" sz="1000" b="0" i="1">
                                <a:latin typeface="Cambria Math" panose="02040503050406030204" pitchFamily="18" charset="0"/>
                                <a:ea typeface="Cambria Math" panose="02040503050406030204" pitchFamily="18" charset="0"/>
                              </a:rPr>
                              <m:t>3</m:t>
                            </m:r>
                          </m:sup>
                        </m:sSubSup>
                      </m:num>
                      <m:den>
                        <m:r>
                          <a:rPr lang="en-US" sz="1000" b="0" i="1">
                            <a:latin typeface="Cambria Math" panose="02040503050406030204" pitchFamily="18" charset="0"/>
                            <a:ea typeface="Cambria Math" panose="02040503050406030204" pitchFamily="18" charset="0"/>
                          </a:rPr>
                          <m:t>12</m:t>
                        </m:r>
                      </m:den>
                    </m:f>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𝑠</m:t>
                        </m:r>
                      </m:e>
                      <m:sub>
                        <m:r>
                          <a:rPr lang="en-US" sz="1000" b="0" i="1">
                            <a:latin typeface="Cambria Math" panose="02040503050406030204" pitchFamily="18" charset="0"/>
                            <a:ea typeface="Cambria Math" panose="02040503050406030204" pitchFamily="18" charset="0"/>
                          </a:rPr>
                          <m:t>𝑢</m:t>
                        </m:r>
                      </m:sub>
                    </m:sSub>
                  </m:oMath>
                </m:oMathPara>
              </a14:m>
              <a:endParaRPr lang="en-US" sz="1100"/>
            </a:p>
          </xdr:txBody>
        </xdr:sp>
      </mc:Choice>
      <mc:Fallback xmlns="">
        <xdr:sp macro="" textlink="">
          <xdr:nvSpPr>
            <xdr:cNvPr id="198" name="TextBox 197">
              <a:extLst>
                <a:ext uri="{FF2B5EF4-FFF2-40B4-BE49-F238E27FC236}">
                  <a16:creationId xmlns:a16="http://schemas.microsoft.com/office/drawing/2014/main" id="{B36A8C4D-2B97-4E96-A733-E341E11156FC}"/>
                </a:ext>
              </a:extLst>
            </xdr:cNvPr>
            <xdr:cNvSpPr txBox="1"/>
          </xdr:nvSpPr>
          <xdr:spPr>
            <a:xfrm>
              <a:off x="1905583" y="88790008"/>
              <a:ext cx="969945" cy="322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000" b="0" i="0">
                  <a:latin typeface="Cambria Math" panose="02040503050406030204" pitchFamily="18" charset="0"/>
                </a:rPr>
                <a:t>𝑇_𝑡=</a:t>
              </a:r>
              <a:r>
                <a:rPr lang="en-US" sz="1000" b="0" i="0">
                  <a:latin typeface="Cambria Math" panose="02040503050406030204" pitchFamily="18" charset="0"/>
                  <a:ea typeface="Cambria Math" panose="02040503050406030204" pitchFamily="18" charset="0"/>
                </a:rPr>
                <a:t>(𝜋∙∅_𝑠ℎ𝑎𝑓𝑡^3)/12 𝑠_𝑢</a:t>
              </a:r>
              <a:endParaRPr lang="en-US" sz="1100"/>
            </a:p>
          </xdr:txBody>
        </xdr:sp>
      </mc:Fallback>
    </mc:AlternateContent>
    <xdr:clientData/>
  </xdr:oneCellAnchor>
  <xdr:oneCellAnchor>
    <xdr:from>
      <xdr:col>10</xdr:col>
      <xdr:colOff>173934</xdr:colOff>
      <xdr:row>453</xdr:row>
      <xdr:rowOff>8282</xdr:rowOff>
    </xdr:from>
    <xdr:ext cx="936090" cy="156518"/>
    <mc:AlternateContent xmlns:mc="http://schemas.openxmlformats.org/markup-compatibility/2006" xmlns:a14="http://schemas.microsoft.com/office/drawing/2010/main">
      <mc:Choice Requires="a14">
        <xdr:sp macro="" textlink="">
          <xdr:nvSpPr>
            <xdr:cNvPr id="201" name="TextBox 200">
              <a:extLst>
                <a:ext uri="{FF2B5EF4-FFF2-40B4-BE49-F238E27FC236}">
                  <a16:creationId xmlns:a16="http://schemas.microsoft.com/office/drawing/2014/main" id="{E5E1B583-9F08-44A0-8707-3EA43F9A8A60}"/>
                </a:ext>
              </a:extLst>
            </xdr:cNvPr>
            <xdr:cNvSpPr txBox="1"/>
          </xdr:nvSpPr>
          <xdr:spPr>
            <a:xfrm>
              <a:off x="1996108" y="89609543"/>
              <a:ext cx="93609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𝑇</m:t>
                        </m:r>
                      </m:e>
                      <m:sub>
                        <m:r>
                          <a:rPr lang="en-US" sz="1000" b="0" i="1">
                            <a:latin typeface="Cambria Math" panose="02040503050406030204" pitchFamily="18" charset="0"/>
                          </a:rPr>
                          <m:t>𝑛</m:t>
                        </m:r>
                      </m:sub>
                    </m:sSub>
                    <m:r>
                      <a:rPr lang="en-US" sz="1000" b="0" i="1">
                        <a:latin typeface="Cambria Math" panose="02040503050406030204" pitchFamily="18" charset="0"/>
                      </a:rPr>
                      <m:t>=</m:t>
                    </m:r>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𝑇</m:t>
                            </m:r>
                          </m:e>
                          <m:sub>
                            <m:r>
                              <a:rPr lang="en-US" sz="1000" b="0" i="1">
                                <a:latin typeface="Cambria Math" panose="02040503050406030204" pitchFamily="18" charset="0"/>
                                <a:ea typeface="Cambria Math" panose="02040503050406030204" pitchFamily="18" charset="0"/>
                              </a:rPr>
                              <m:t>𝑠</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𝑇</m:t>
                            </m:r>
                          </m:e>
                          <m:sub>
                            <m:r>
                              <a:rPr lang="en-US" sz="1000" b="0" i="1">
                                <a:latin typeface="Cambria Math" panose="02040503050406030204" pitchFamily="18" charset="0"/>
                                <a:ea typeface="Cambria Math" panose="02040503050406030204" pitchFamily="18" charset="0"/>
                              </a:rPr>
                              <m:t>𝑡</m:t>
                            </m:r>
                          </m:sub>
                        </m:sSub>
                      </m:e>
                    </m:d>
                    <m:r>
                      <a:rPr lang="en-US" sz="1000" b="0" i="1">
                        <a:latin typeface="Cambria Math" panose="02040503050406030204" pitchFamily="18" charset="0"/>
                      </a:rPr>
                      <m:t>=</m:t>
                    </m:r>
                  </m:oMath>
                </m:oMathPara>
              </a14:m>
              <a:endParaRPr lang="en-US" sz="1100"/>
            </a:p>
          </xdr:txBody>
        </xdr:sp>
      </mc:Choice>
      <mc:Fallback xmlns="">
        <xdr:sp macro="" textlink="">
          <xdr:nvSpPr>
            <xdr:cNvPr id="201" name="TextBox 200">
              <a:extLst>
                <a:ext uri="{FF2B5EF4-FFF2-40B4-BE49-F238E27FC236}">
                  <a16:creationId xmlns:a16="http://schemas.microsoft.com/office/drawing/2014/main" id="{E5E1B583-9F08-44A0-8707-3EA43F9A8A60}"/>
                </a:ext>
              </a:extLst>
            </xdr:cNvPr>
            <xdr:cNvSpPr txBox="1"/>
          </xdr:nvSpPr>
          <xdr:spPr>
            <a:xfrm>
              <a:off x="1996108" y="89609543"/>
              <a:ext cx="93609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𝑇_𝑛=</a:t>
              </a:r>
              <a:r>
                <a:rPr lang="en-US" sz="1000" b="0" i="0">
                  <a:latin typeface="Cambria Math" panose="02040503050406030204" pitchFamily="18" charset="0"/>
                  <a:ea typeface="Cambria Math" panose="02040503050406030204" pitchFamily="18" charset="0"/>
                </a:rPr>
                <a:t>(𝑇_𝑠+𝑇_𝑡 )</a:t>
              </a:r>
              <a:r>
                <a:rPr lang="en-US" sz="1000" b="0" i="0">
                  <a:latin typeface="Cambria Math" panose="02040503050406030204" pitchFamily="18" charset="0"/>
                </a:rPr>
                <a:t>=</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492"/>
  <sheetViews>
    <sheetView tabSelected="1" topLeftCell="A407" zoomScaleNormal="100" zoomScaleSheetLayoutView="70" workbookViewId="0">
      <selection activeCell="BG460" sqref="BG460"/>
    </sheetView>
  </sheetViews>
  <sheetFormatPr defaultColWidth="2.7265625" defaultRowHeight="16" customHeight="1" x14ac:dyDescent="0.25"/>
  <cols>
    <col min="1" max="41" width="2.7265625" style="7" customWidth="1"/>
    <col min="42" max="42" width="2.7265625" style="11" customWidth="1"/>
    <col min="43" max="51" width="2.7265625" style="7" customWidth="1"/>
    <col min="52" max="52" width="2.81640625" style="7" customWidth="1"/>
    <col min="53" max="54" width="2.7265625" style="7" customWidth="1"/>
    <col min="55" max="58" width="2.7265625" style="7"/>
    <col min="59" max="64" width="10.7265625" style="7" customWidth="1"/>
    <col min="65" max="98" width="2.7265625" style="7"/>
    <col min="99" max="99" width="2.7265625" style="7" customWidth="1"/>
    <col min="100" max="16384" width="2.7265625" style="7"/>
  </cols>
  <sheetData>
    <row r="1" spans="1:62" ht="16" customHeight="1" x14ac:dyDescent="0.25">
      <c r="A1" s="170" t="s">
        <v>149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0"/>
      <c r="AG1" s="10"/>
      <c r="AH1" s="10"/>
      <c r="AI1" s="6"/>
      <c r="AJ1" s="6"/>
      <c r="AK1" s="6"/>
      <c r="AL1" s="6"/>
      <c r="AM1" s="6"/>
      <c r="AN1" s="6"/>
      <c r="AO1" s="6"/>
      <c r="AQ1" s="9"/>
      <c r="AR1" s="9"/>
      <c r="AS1" s="9"/>
      <c r="AT1" s="9"/>
      <c r="AU1" s="9"/>
      <c r="AV1" s="9"/>
      <c r="AW1" s="9"/>
      <c r="AX1" s="9"/>
      <c r="AY1" s="9"/>
      <c r="AZ1" s="9"/>
      <c r="BF1" s="7" t="s">
        <v>43</v>
      </c>
    </row>
    <row r="2" spans="1:62" ht="16" customHeight="1" x14ac:dyDescent="0.25">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0"/>
      <c r="AG2" s="10"/>
      <c r="AH2" s="10"/>
      <c r="AI2" s="6"/>
      <c r="AJ2" s="6"/>
      <c r="AK2" s="6"/>
      <c r="AL2" s="6"/>
      <c r="AM2" s="6"/>
      <c r="AN2" s="6"/>
      <c r="AO2" s="6"/>
      <c r="AQ2" s="9"/>
      <c r="AR2" s="9"/>
      <c r="AS2" s="9"/>
      <c r="AT2" s="9"/>
      <c r="AU2" s="9"/>
      <c r="AV2" s="9"/>
      <c r="AW2" s="9"/>
      <c r="AX2" s="9"/>
      <c r="AY2" s="9"/>
      <c r="AZ2" s="9"/>
      <c r="BF2" s="7" t="s">
        <v>44</v>
      </c>
    </row>
    <row r="3" spans="1:62" ht="16" customHeight="1" x14ac:dyDescent="0.25">
      <c r="A3" s="4" t="s">
        <v>6</v>
      </c>
      <c r="B3" s="13"/>
      <c r="AF3" s="6"/>
      <c r="AG3" s="6"/>
      <c r="AH3" s="6"/>
      <c r="AI3" s="6"/>
      <c r="AJ3" s="6"/>
      <c r="AK3" s="6"/>
      <c r="AL3" s="6"/>
      <c r="AM3" s="6"/>
      <c r="AN3" s="6"/>
      <c r="AO3" s="6"/>
      <c r="AQ3" s="9"/>
      <c r="AR3" s="9"/>
      <c r="AS3" s="9"/>
      <c r="AT3" s="9"/>
      <c r="AU3" s="9"/>
      <c r="AV3" s="9"/>
      <c r="AW3" s="9"/>
      <c r="AX3" s="9"/>
      <c r="AY3" s="9"/>
      <c r="AZ3" s="9"/>
    </row>
    <row r="4" spans="1:62" ht="16" customHeight="1" x14ac:dyDescent="0.25">
      <c r="A4" s="14" t="s">
        <v>308</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5"/>
      <c r="AQ4" s="9"/>
      <c r="AR4" s="9"/>
      <c r="AS4" s="9"/>
      <c r="AT4" s="9"/>
      <c r="AU4" s="9"/>
      <c r="AV4" s="9"/>
      <c r="AW4" s="9"/>
      <c r="AX4" s="9"/>
      <c r="AY4" s="9"/>
      <c r="AZ4" s="9"/>
      <c r="BG4" s="16" t="s">
        <v>133</v>
      </c>
      <c r="BH4" s="16" t="s">
        <v>134</v>
      </c>
      <c r="BI4" s="16" t="s">
        <v>135</v>
      </c>
      <c r="BJ4" s="16" t="s">
        <v>136</v>
      </c>
    </row>
    <row r="5" spans="1:62" ht="15.75" customHeight="1" x14ac:dyDescent="0.2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5"/>
      <c r="AG5" s="15"/>
      <c r="AQ5" s="9"/>
      <c r="AR5" s="9"/>
      <c r="AS5" s="9"/>
      <c r="AT5" s="9"/>
      <c r="AU5" s="9"/>
      <c r="AV5" s="9"/>
      <c r="AW5" s="9"/>
      <c r="AX5" s="9"/>
      <c r="AY5" s="9"/>
      <c r="AZ5" s="9"/>
      <c r="BG5" s="16">
        <v>3</v>
      </c>
      <c r="BH5" s="16">
        <v>0.375</v>
      </c>
      <c r="BI5" s="17">
        <v>0.11</v>
      </c>
      <c r="BJ5" s="16">
        <v>0.376</v>
      </c>
    </row>
    <row r="6" spans="1:62" ht="16" customHeight="1" x14ac:dyDescent="0.2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5"/>
      <c r="AG6" s="15"/>
      <c r="BG6" s="16">
        <v>4</v>
      </c>
      <c r="BH6" s="16">
        <v>0.5</v>
      </c>
      <c r="BI6" s="17">
        <v>0.2</v>
      </c>
      <c r="BJ6" s="16">
        <v>0.66800000000000004</v>
      </c>
    </row>
    <row r="7" spans="1:62" ht="16" customHeight="1" x14ac:dyDescent="0.2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5"/>
      <c r="AG7" s="15"/>
      <c r="BG7" s="16">
        <v>5</v>
      </c>
      <c r="BH7" s="16">
        <v>0.625</v>
      </c>
      <c r="BI7" s="17">
        <v>0.31</v>
      </c>
      <c r="BJ7" s="16">
        <v>1.0429999999999999</v>
      </c>
    </row>
    <row r="8" spans="1:62" ht="16" customHeight="1" x14ac:dyDescent="0.25">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5"/>
      <c r="AG8" s="15"/>
      <c r="BG8" s="16">
        <v>6</v>
      </c>
      <c r="BH8" s="16">
        <v>0.75</v>
      </c>
      <c r="BI8" s="17">
        <v>0.44</v>
      </c>
      <c r="BJ8" s="16">
        <v>1.502</v>
      </c>
    </row>
    <row r="9" spans="1:62" ht="16" customHeight="1" x14ac:dyDescent="0.25">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5"/>
      <c r="AG9" s="15"/>
      <c r="BG9" s="16">
        <v>7</v>
      </c>
      <c r="BH9" s="16">
        <v>0.875</v>
      </c>
      <c r="BI9" s="17">
        <v>0.6</v>
      </c>
      <c r="BJ9" s="16">
        <v>2.044</v>
      </c>
    </row>
    <row r="10" spans="1:62" ht="16" customHeight="1" x14ac:dyDescent="0.2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5"/>
      <c r="AG10" s="15"/>
      <c r="AH10" s="3"/>
      <c r="BG10" s="16">
        <v>8</v>
      </c>
      <c r="BH10" s="16">
        <v>1</v>
      </c>
      <c r="BI10" s="17">
        <v>0.79</v>
      </c>
      <c r="BJ10" s="16">
        <v>2.67</v>
      </c>
    </row>
    <row r="11" spans="1:62" ht="16" customHeight="1" x14ac:dyDescent="0.2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5"/>
      <c r="AG11" s="15"/>
      <c r="AI11" s="3"/>
      <c r="AJ11" s="3"/>
      <c r="AK11" s="3"/>
      <c r="AL11" s="3"/>
      <c r="AM11" s="3"/>
      <c r="AN11" s="3"/>
      <c r="AO11" s="3"/>
      <c r="BG11" s="16">
        <v>9</v>
      </c>
      <c r="BH11" s="16">
        <v>1.1279999999999999</v>
      </c>
      <c r="BI11" s="17">
        <v>1</v>
      </c>
      <c r="BJ11" s="16">
        <v>3.4</v>
      </c>
    </row>
    <row r="12" spans="1:62" ht="16" customHeight="1" x14ac:dyDescent="0.2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5"/>
      <c r="AG12" s="15"/>
      <c r="BG12" s="16">
        <v>10</v>
      </c>
      <c r="BH12" s="16">
        <v>1.27</v>
      </c>
      <c r="BI12" s="17">
        <v>1.27</v>
      </c>
      <c r="BJ12" s="16">
        <v>4.3029999999999999</v>
      </c>
    </row>
    <row r="13" spans="1:62" ht="16" customHeight="1" x14ac:dyDescent="0.25">
      <c r="A13" s="18"/>
      <c r="E13" s="18"/>
      <c r="F13" s="18"/>
      <c r="G13" s="18"/>
      <c r="H13" s="18"/>
      <c r="I13" s="18"/>
      <c r="J13" s="18"/>
      <c r="K13" s="18"/>
      <c r="L13" s="18"/>
      <c r="M13" s="18"/>
      <c r="N13" s="18"/>
      <c r="O13" s="18"/>
      <c r="P13" s="18"/>
      <c r="Q13" s="18"/>
      <c r="R13" s="18"/>
      <c r="S13" s="18"/>
      <c r="T13" s="18"/>
      <c r="U13" s="18"/>
      <c r="V13" s="18"/>
      <c r="W13" s="18"/>
      <c r="X13" s="18"/>
      <c r="Y13" s="18"/>
      <c r="AG13" s="19"/>
      <c r="AP13" s="3"/>
      <c r="AQ13" s="3"/>
      <c r="AR13" s="3"/>
      <c r="BG13" s="16">
        <v>11</v>
      </c>
      <c r="BH13" s="16">
        <v>1.41</v>
      </c>
      <c r="BI13" s="17">
        <v>1.56</v>
      </c>
      <c r="BJ13" s="16">
        <v>5.3129999999999997</v>
      </c>
    </row>
    <row r="14" spans="1:62" ht="16" customHeight="1" x14ac:dyDescent="0.25">
      <c r="A14" s="4" t="s">
        <v>9</v>
      </c>
      <c r="B14" s="20"/>
      <c r="C14" s="20"/>
      <c r="D14" s="20"/>
      <c r="E14" s="20"/>
      <c r="F14" s="20"/>
      <c r="G14" s="20"/>
      <c r="H14" s="20"/>
      <c r="I14" s="20"/>
      <c r="J14" s="20"/>
      <c r="K14" s="20"/>
      <c r="L14" s="20"/>
      <c r="M14" s="20"/>
      <c r="N14" s="20"/>
      <c r="O14" s="20"/>
      <c r="P14" s="20"/>
      <c r="Q14" s="20"/>
      <c r="R14" s="20"/>
      <c r="AG14" s="3"/>
      <c r="AP14" s="7"/>
      <c r="BG14" s="16">
        <v>14</v>
      </c>
      <c r="BH14" s="16">
        <v>1.6930000000000001</v>
      </c>
      <c r="BI14" s="17">
        <v>2.25</v>
      </c>
      <c r="BJ14" s="16">
        <v>7.65</v>
      </c>
    </row>
    <row r="15" spans="1:62" ht="16" customHeight="1" x14ac:dyDescent="0.25">
      <c r="A15" s="7" t="s">
        <v>246</v>
      </c>
      <c r="Y15" s="21"/>
      <c r="AG15" s="22"/>
      <c r="AP15" s="7"/>
      <c r="AY15" s="22"/>
      <c r="AZ15" s="22"/>
      <c r="BA15" s="22"/>
      <c r="BB15" s="22"/>
      <c r="BC15" s="22"/>
      <c r="BD15" s="22"/>
      <c r="BG15" s="16">
        <v>18</v>
      </c>
      <c r="BH15" s="16">
        <v>2.2570000000000001</v>
      </c>
      <c r="BI15" s="17">
        <v>4</v>
      </c>
      <c r="BJ15" s="16">
        <v>13.6</v>
      </c>
    </row>
    <row r="16" spans="1:62" ht="16" customHeight="1" x14ac:dyDescent="0.25">
      <c r="B16" s="7" t="s">
        <v>137</v>
      </c>
      <c r="C16" s="23"/>
      <c r="P16" s="24" t="s">
        <v>7</v>
      </c>
      <c r="Q16" s="25">
        <v>4</v>
      </c>
      <c r="R16" s="25"/>
      <c r="S16" s="25"/>
      <c r="T16" s="7" t="s">
        <v>5</v>
      </c>
      <c r="Y16" s="21"/>
      <c r="AP16" s="7"/>
    </row>
    <row r="17" spans="1:42" ht="16" customHeight="1" x14ac:dyDescent="0.25">
      <c r="B17" s="7" t="s">
        <v>138</v>
      </c>
      <c r="C17" s="23"/>
      <c r="P17" s="26" t="s">
        <v>309</v>
      </c>
      <c r="Q17" s="27">
        <v>150</v>
      </c>
      <c r="R17" s="27"/>
      <c r="S17" s="27"/>
      <c r="T17" s="7" t="s">
        <v>13</v>
      </c>
      <c r="AP17" s="7"/>
    </row>
    <row r="18" spans="1:42" ht="16" customHeight="1" x14ac:dyDescent="0.25">
      <c r="C18" s="23"/>
      <c r="AP18" s="7"/>
    </row>
    <row r="19" spans="1:42" ht="16" customHeight="1" x14ac:dyDescent="0.25">
      <c r="A19" s="7" t="s">
        <v>150</v>
      </c>
    </row>
    <row r="20" spans="1:42" ht="16" customHeight="1" x14ac:dyDescent="0.25">
      <c r="A20" s="28"/>
      <c r="B20" s="7" t="s">
        <v>16</v>
      </c>
      <c r="P20" s="24" t="s">
        <v>8</v>
      </c>
      <c r="Q20" s="27">
        <v>60</v>
      </c>
      <c r="R20" s="27"/>
      <c r="S20" s="27"/>
      <c r="T20" s="7" t="s">
        <v>5</v>
      </c>
    </row>
    <row r="21" spans="1:42" ht="16" customHeight="1" x14ac:dyDescent="0.25">
      <c r="A21" s="28"/>
      <c r="P21" s="26"/>
      <c r="Q21" s="29"/>
      <c r="R21" s="29"/>
      <c r="S21" s="29"/>
      <c r="AP21" s="7"/>
    </row>
    <row r="22" spans="1:42" ht="16" customHeight="1" x14ac:dyDescent="0.25">
      <c r="A22" s="7" t="s">
        <v>176</v>
      </c>
    </row>
    <row r="23" spans="1:42" ht="16" customHeight="1" x14ac:dyDescent="0.25">
      <c r="A23" s="28"/>
      <c r="B23" s="7" t="s">
        <v>139</v>
      </c>
      <c r="P23" s="26" t="s">
        <v>310</v>
      </c>
      <c r="Q23" s="27">
        <v>490</v>
      </c>
      <c r="R23" s="27"/>
      <c r="S23" s="27"/>
      <c r="T23" s="7" t="s">
        <v>13</v>
      </c>
      <c r="AP23" s="7"/>
    </row>
    <row r="24" spans="1:42" ht="16" customHeight="1" x14ac:dyDescent="0.25">
      <c r="AP24" s="7"/>
    </row>
    <row r="25" spans="1:42" ht="16" customHeight="1" x14ac:dyDescent="0.25">
      <c r="A25" s="7" t="s">
        <v>109</v>
      </c>
      <c r="AP25" s="7"/>
    </row>
    <row r="26" spans="1:42" ht="16" customHeight="1" x14ac:dyDescent="0.25">
      <c r="A26" s="28"/>
      <c r="B26" s="7" t="s">
        <v>140</v>
      </c>
      <c r="P26" s="26" t="s">
        <v>311</v>
      </c>
      <c r="Q26" s="27">
        <v>175</v>
      </c>
      <c r="R26" s="27"/>
      <c r="S26" s="27"/>
      <c r="T26" s="7" t="s">
        <v>13</v>
      </c>
      <c r="AP26" s="7"/>
    </row>
    <row r="27" spans="1:42" ht="16" customHeight="1" x14ac:dyDescent="0.25">
      <c r="AP27" s="7"/>
    </row>
    <row r="28" spans="1:42" ht="16" customHeight="1" x14ac:dyDescent="0.25">
      <c r="AP28" s="7"/>
    </row>
    <row r="29" spans="1:42" ht="16" customHeight="1" x14ac:dyDescent="0.25">
      <c r="A29" s="4" t="s">
        <v>152</v>
      </c>
      <c r="AP29" s="7"/>
    </row>
    <row r="30" spans="1:42" ht="16" customHeight="1" x14ac:dyDescent="0.25">
      <c r="A30" s="7" t="s">
        <v>20</v>
      </c>
      <c r="P30" s="24" t="s">
        <v>312</v>
      </c>
      <c r="Q30" s="30">
        <v>22</v>
      </c>
      <c r="R30" s="30"/>
      <c r="S30" s="30"/>
      <c r="T30" s="7" t="s">
        <v>247</v>
      </c>
      <c r="AP30" s="7"/>
    </row>
    <row r="31" spans="1:42" ht="16" customHeight="1" x14ac:dyDescent="0.25">
      <c r="A31" s="7" t="s">
        <v>141</v>
      </c>
      <c r="P31" s="24" t="s">
        <v>313</v>
      </c>
      <c r="Q31" s="30">
        <v>15.5</v>
      </c>
      <c r="R31" s="30"/>
      <c r="S31" s="30"/>
      <c r="T31" s="7" t="s">
        <v>248</v>
      </c>
      <c r="Z31" s="23"/>
      <c r="AP31" s="7"/>
    </row>
    <row r="32" spans="1:42" ht="16" customHeight="1" x14ac:dyDescent="0.25">
      <c r="A32" s="7" t="s">
        <v>19</v>
      </c>
      <c r="P32" s="24" t="s">
        <v>314</v>
      </c>
      <c r="Q32" s="30">
        <v>12.5</v>
      </c>
      <c r="R32" s="30"/>
      <c r="S32" s="30"/>
      <c r="T32" s="7" t="s">
        <v>248</v>
      </c>
      <c r="Z32" s="23"/>
      <c r="AP32" s="7"/>
    </row>
    <row r="33" spans="1:56" ht="16" customHeight="1" x14ac:dyDescent="0.25">
      <c r="A33" s="7" t="s">
        <v>151</v>
      </c>
      <c r="P33" s="24" t="s">
        <v>315</v>
      </c>
      <c r="Q33" s="31">
        <v>0.1875</v>
      </c>
      <c r="R33" s="31"/>
      <c r="S33" s="31"/>
      <c r="T33" s="7" t="s">
        <v>248</v>
      </c>
      <c r="AP33" s="7"/>
    </row>
    <row r="34" spans="1:56" ht="16" customHeight="1" x14ac:dyDescent="0.25">
      <c r="A34" s="7" t="s">
        <v>171</v>
      </c>
      <c r="P34" s="24" t="s">
        <v>316</v>
      </c>
      <c r="Q34" s="30">
        <v>1.5</v>
      </c>
      <c r="R34" s="30"/>
      <c r="S34" s="30"/>
      <c r="T34" s="7" t="s">
        <v>247</v>
      </c>
      <c r="AP34" s="7"/>
    </row>
    <row r="35" spans="1:56" ht="16" customHeight="1" x14ac:dyDescent="0.25">
      <c r="A35" s="7" t="s">
        <v>153</v>
      </c>
      <c r="P35" s="24" t="s">
        <v>317</v>
      </c>
      <c r="Q35" s="30">
        <v>16</v>
      </c>
      <c r="R35" s="30"/>
      <c r="S35" s="30"/>
      <c r="T35" s="7" t="s">
        <v>247</v>
      </c>
      <c r="AP35" s="7"/>
    </row>
    <row r="36" spans="1:56" ht="16" customHeight="1" x14ac:dyDescent="0.25">
      <c r="A36" s="7" t="s">
        <v>154</v>
      </c>
      <c r="P36" s="24" t="s">
        <v>318</v>
      </c>
      <c r="Q36" s="30">
        <v>10</v>
      </c>
      <c r="R36" s="30"/>
      <c r="S36" s="30"/>
      <c r="T36" s="7" t="s">
        <v>248</v>
      </c>
      <c r="AP36" s="7"/>
    </row>
    <row r="37" spans="1:56" ht="16" customHeight="1" x14ac:dyDescent="0.25">
      <c r="A37" s="7" t="s">
        <v>155</v>
      </c>
      <c r="P37" s="24" t="s">
        <v>319</v>
      </c>
      <c r="Q37" s="30">
        <v>6.25</v>
      </c>
      <c r="R37" s="30"/>
      <c r="S37" s="30"/>
      <c r="T37" s="7" t="s">
        <v>248</v>
      </c>
      <c r="AE37" s="24"/>
      <c r="AP37" s="7"/>
    </row>
    <row r="38" spans="1:56" ht="16" customHeight="1" x14ac:dyDescent="0.25">
      <c r="A38" s="21" t="s">
        <v>156</v>
      </c>
      <c r="P38" s="24" t="s">
        <v>320</v>
      </c>
      <c r="Q38" s="31">
        <v>0.1875</v>
      </c>
      <c r="R38" s="31"/>
      <c r="S38" s="31"/>
      <c r="T38" s="7" t="s">
        <v>248</v>
      </c>
      <c r="AE38" s="24"/>
    </row>
    <row r="39" spans="1:56" ht="16" customHeight="1" x14ac:dyDescent="0.25">
      <c r="A39" s="21" t="s">
        <v>17</v>
      </c>
      <c r="P39" s="24" t="s">
        <v>321</v>
      </c>
      <c r="Q39" s="30">
        <v>13</v>
      </c>
      <c r="R39" s="30"/>
      <c r="S39" s="30"/>
      <c r="T39" s="7" t="s">
        <v>247</v>
      </c>
      <c r="AE39" s="24"/>
    </row>
    <row r="40" spans="1:56" ht="16" customHeight="1" x14ac:dyDescent="0.25">
      <c r="A40" s="21" t="s">
        <v>18</v>
      </c>
      <c r="P40" s="24" t="s">
        <v>322</v>
      </c>
      <c r="Q40" s="27">
        <v>36</v>
      </c>
      <c r="R40" s="27"/>
      <c r="S40" s="27"/>
      <c r="T40" s="7" t="s">
        <v>248</v>
      </c>
      <c r="AE40" s="24"/>
      <c r="AP40" s="7"/>
    </row>
    <row r="41" spans="1:56" ht="16" customHeight="1" x14ac:dyDescent="0.25">
      <c r="A41" s="21" t="s">
        <v>24</v>
      </c>
      <c r="P41" s="32"/>
      <c r="Q41" s="27">
        <v>1</v>
      </c>
      <c r="R41" s="27"/>
      <c r="S41" s="27"/>
      <c r="AP41" s="7"/>
    </row>
    <row r="42" spans="1:56" ht="16" customHeight="1" x14ac:dyDescent="0.25">
      <c r="A42" s="21"/>
      <c r="P42" s="32"/>
      <c r="AP42" s="7"/>
    </row>
    <row r="43" spans="1:56" ht="16" customHeight="1" x14ac:dyDescent="0.25">
      <c r="O43" s="33"/>
      <c r="P43" s="22"/>
      <c r="Q43" s="22"/>
      <c r="R43" s="22"/>
      <c r="S43" s="22"/>
      <c r="T43" s="22"/>
      <c r="U43" s="22"/>
      <c r="AP43" s="7"/>
    </row>
    <row r="44" spans="1:56" ht="16" customHeight="1" x14ac:dyDescent="0.25">
      <c r="E44" s="32"/>
      <c r="G44" s="34"/>
      <c r="M44" s="24" t="s">
        <v>323</v>
      </c>
      <c r="N44" s="7" t="str">
        <f>Q35&amp;" ft"</f>
        <v>16 ft</v>
      </c>
    </row>
    <row r="45" spans="1:56" ht="16" customHeight="1" x14ac:dyDescent="0.25">
      <c r="E45" s="32"/>
      <c r="F45" s="24" t="s">
        <v>324</v>
      </c>
      <c r="G45" s="7" t="str">
        <f>Q32&amp;" in"</f>
        <v>12.5 in</v>
      </c>
      <c r="AU45" s="21"/>
    </row>
    <row r="46" spans="1:56" ht="16" customHeight="1" x14ac:dyDescent="0.25">
      <c r="A46" s="34"/>
      <c r="B46" s="34"/>
      <c r="C46" s="34"/>
      <c r="E46" s="32"/>
      <c r="G46" s="34"/>
      <c r="K46" s="32"/>
      <c r="L46" s="24" t="s">
        <v>325</v>
      </c>
      <c r="M46" s="34" t="str">
        <f>P70&amp;" ft"</f>
        <v>11 ft</v>
      </c>
      <c r="AU46" s="21"/>
      <c r="BD46" s="32"/>
    </row>
    <row r="47" spans="1:56" ht="16" customHeight="1" x14ac:dyDescent="0.25">
      <c r="E47" s="35"/>
      <c r="G47" s="34"/>
      <c r="H47" s="34"/>
      <c r="I47" s="34"/>
      <c r="K47" s="32"/>
      <c r="M47" s="34"/>
      <c r="AU47" s="21"/>
      <c r="BD47" s="32"/>
    </row>
    <row r="48" spans="1:56" ht="16" customHeight="1" x14ac:dyDescent="0.25">
      <c r="E48" s="35"/>
      <c r="G48" s="24" t="s">
        <v>326</v>
      </c>
      <c r="H48" s="34" t="str">
        <f>Q34&amp;" ft"</f>
        <v>1.5 ft</v>
      </c>
      <c r="K48" s="32"/>
      <c r="M48" s="34"/>
      <c r="T48" s="24" t="s">
        <v>327</v>
      </c>
      <c r="U48" s="7" t="str">
        <f>K70&amp;" ft"</f>
        <v>6 ft</v>
      </c>
    </row>
    <row r="50" spans="5:64" ht="16" customHeight="1" x14ac:dyDescent="0.25">
      <c r="G50" s="11"/>
    </row>
    <row r="51" spans="5:64" ht="16" customHeight="1" x14ac:dyDescent="0.25">
      <c r="G51" s="11"/>
      <c r="N51" s="24" t="s">
        <v>328</v>
      </c>
      <c r="O51" s="7" t="str">
        <f>F70&amp;" ft"</f>
        <v>8 ft</v>
      </c>
      <c r="AP51" s="7"/>
    </row>
    <row r="52" spans="5:64" ht="16" customHeight="1" x14ac:dyDescent="0.25">
      <c r="G52" s="11"/>
    </row>
    <row r="53" spans="5:64" ht="16" customHeight="1" x14ac:dyDescent="0.25">
      <c r="E53" s="24" t="s">
        <v>329</v>
      </c>
      <c r="F53" s="7" t="str">
        <f>Q30&amp;" ft"</f>
        <v>22 ft</v>
      </c>
      <c r="T53" s="24" t="s">
        <v>330</v>
      </c>
      <c r="U53" s="7" t="str">
        <f>Q37&amp;" in"</f>
        <v>6.25 in</v>
      </c>
      <c r="AP53" s="7"/>
    </row>
    <row r="54" spans="5:64" ht="16" customHeight="1" x14ac:dyDescent="0.25">
      <c r="G54" s="11"/>
      <c r="M54" s="24" t="s">
        <v>331</v>
      </c>
      <c r="N54" s="7" t="str">
        <f>Q36&amp;" in"</f>
        <v>10 in</v>
      </c>
    </row>
    <row r="55" spans="5:64" ht="16" customHeight="1" x14ac:dyDescent="0.25">
      <c r="G55" s="11"/>
      <c r="X55" s="7" t="s">
        <v>55</v>
      </c>
      <c r="AP55" s="7"/>
    </row>
    <row r="56" spans="5:64" ht="16" customHeight="1" x14ac:dyDescent="0.25">
      <c r="G56" s="11"/>
      <c r="AP56" s="7"/>
    </row>
    <row r="57" spans="5:64" ht="16" customHeight="1" x14ac:dyDescent="0.25">
      <c r="G57" s="11"/>
    </row>
    <row r="58" spans="5:64" ht="16" customHeight="1" x14ac:dyDescent="0.25">
      <c r="E58" s="24"/>
      <c r="M58" s="24" t="s">
        <v>332</v>
      </c>
      <c r="N58" s="7" t="str">
        <f>Q31&amp;" in"</f>
        <v>15.5 in</v>
      </c>
      <c r="AA58" s="7" t="s">
        <v>56</v>
      </c>
    </row>
    <row r="59" spans="5:64" ht="16" customHeight="1" x14ac:dyDescent="0.25">
      <c r="G59" s="11"/>
      <c r="X59" s="7" t="s">
        <v>57</v>
      </c>
    </row>
    <row r="60" spans="5:64" ht="16" customHeight="1" x14ac:dyDescent="0.25">
      <c r="G60" s="11"/>
      <c r="R60" s="7" t="s">
        <v>189</v>
      </c>
      <c r="BG60" s="16" t="s">
        <v>34</v>
      </c>
      <c r="BH60" s="16"/>
      <c r="BI60" s="16"/>
      <c r="BJ60" s="16"/>
      <c r="BK60" s="16"/>
      <c r="BL60" s="16"/>
    </row>
    <row r="61" spans="5:64" ht="16" customHeight="1" x14ac:dyDescent="0.3">
      <c r="G61" s="11"/>
      <c r="BG61" s="36" t="s">
        <v>28</v>
      </c>
      <c r="BH61" s="37">
        <f>0.5*0.5*(Q36+Q37)/12</f>
        <v>0.33854166666666669</v>
      </c>
      <c r="BI61" s="38" t="s">
        <v>0</v>
      </c>
      <c r="BJ61" s="38" t="s">
        <v>29</v>
      </c>
      <c r="BK61" s="39">
        <f>Q35</f>
        <v>16</v>
      </c>
      <c r="BL61" s="40" t="s">
        <v>30</v>
      </c>
    </row>
    <row r="62" spans="5:64" ht="16" customHeight="1" x14ac:dyDescent="0.3">
      <c r="E62" s="24" t="s">
        <v>333</v>
      </c>
      <c r="F62" s="7" t="str">
        <f>Q39&amp;" ft"</f>
        <v>13 ft</v>
      </c>
      <c r="G62" s="11"/>
      <c r="BG62" s="41" t="s">
        <v>31</v>
      </c>
      <c r="BH62" s="42">
        <f>BH61-Q38/12</f>
        <v>0.32291666666666669</v>
      </c>
      <c r="BI62" s="16" t="s">
        <v>0</v>
      </c>
      <c r="BJ62" s="16"/>
      <c r="BK62" s="43"/>
      <c r="BL62" s="44"/>
    </row>
    <row r="63" spans="5:64" ht="16" customHeight="1" x14ac:dyDescent="0.3">
      <c r="G63" s="11"/>
      <c r="N63" s="24" t="s">
        <v>334</v>
      </c>
      <c r="O63" s="7" t="str">
        <f>Q40&amp;" in"</f>
        <v>36 in</v>
      </c>
      <c r="BG63" s="45" t="s">
        <v>32</v>
      </c>
      <c r="BH63" s="46">
        <f>PI()*(BH61^2-BH62^2)</f>
        <v>3.2469260010246102E-2</v>
      </c>
      <c r="BI63" s="47" t="s">
        <v>335</v>
      </c>
      <c r="BJ63" s="47"/>
      <c r="BK63" s="47"/>
      <c r="BL63" s="48"/>
    </row>
    <row r="64" spans="5:64" ht="16" customHeight="1" x14ac:dyDescent="0.25">
      <c r="G64" s="11"/>
      <c r="N64" s="24"/>
      <c r="BG64" s="16" t="s">
        <v>33</v>
      </c>
      <c r="BH64" s="49"/>
      <c r="BI64" s="16"/>
      <c r="BJ64" s="16"/>
      <c r="BK64" s="16"/>
      <c r="BL64" s="16"/>
    </row>
    <row r="65" spans="1:64" ht="16" customHeight="1" x14ac:dyDescent="0.3">
      <c r="G65" s="11"/>
      <c r="BG65" s="36" t="s">
        <v>28</v>
      </c>
      <c r="BH65" s="37">
        <f>0.5*0.5*(Q31+Q32)/12</f>
        <v>0.58333333333333337</v>
      </c>
      <c r="BI65" s="38" t="s">
        <v>0</v>
      </c>
      <c r="BJ65" s="38" t="s">
        <v>32</v>
      </c>
      <c r="BK65" s="50">
        <f>PI()*(BH65^2-BH66^2)</f>
        <v>5.6501625687121172E-2</v>
      </c>
      <c r="BL65" s="40" t="s">
        <v>335</v>
      </c>
    </row>
    <row r="66" spans="1:64" ht="16" customHeight="1" x14ac:dyDescent="0.3">
      <c r="G66" s="8" t="s">
        <v>267</v>
      </c>
      <c r="H66" s="8"/>
      <c r="I66" s="8"/>
      <c r="J66" s="8"/>
      <c r="K66" s="8"/>
      <c r="L66" s="8"/>
      <c r="M66" s="8"/>
      <c r="N66" s="8"/>
      <c r="O66" s="8"/>
      <c r="P66" s="8"/>
      <c r="Q66" s="8"/>
      <c r="R66" s="8"/>
      <c r="S66" s="8"/>
      <c r="T66" s="8"/>
      <c r="U66" s="8"/>
      <c r="V66" s="8"/>
      <c r="W66" s="8"/>
      <c r="BG66" s="45" t="s">
        <v>31</v>
      </c>
      <c r="BH66" s="46">
        <f>BH65-((Q33)/12)</f>
        <v>0.56770833333333337</v>
      </c>
      <c r="BI66" s="47" t="s">
        <v>0</v>
      </c>
      <c r="BJ66" s="47"/>
      <c r="BK66" s="47"/>
      <c r="BL66" s="48"/>
    </row>
    <row r="67" spans="1:64" ht="16" customHeight="1" x14ac:dyDescent="0.25">
      <c r="E67" s="21"/>
      <c r="S67" s="32"/>
      <c r="T67" s="51"/>
      <c r="U67" s="51"/>
      <c r="V67" s="51"/>
    </row>
    <row r="68" spans="1:64" ht="16" customHeight="1" x14ac:dyDescent="0.25">
      <c r="A68" s="4" t="s">
        <v>21</v>
      </c>
      <c r="P68" s="32"/>
      <c r="Q68" s="52"/>
    </row>
    <row r="69" spans="1:64" ht="16" customHeight="1" x14ac:dyDescent="0.25">
      <c r="A69" s="53"/>
      <c r="B69" s="54"/>
      <c r="C69" s="54"/>
      <c r="D69" s="55"/>
      <c r="E69" s="53"/>
      <c r="F69" s="56" t="s">
        <v>23</v>
      </c>
      <c r="G69" s="56"/>
      <c r="H69" s="56"/>
      <c r="I69" s="55"/>
      <c r="J69" s="53"/>
      <c r="K69" s="56" t="s">
        <v>25</v>
      </c>
      <c r="L69" s="56"/>
      <c r="M69" s="56"/>
      <c r="N69" s="55"/>
      <c r="O69" s="54"/>
      <c r="P69" s="56" t="s">
        <v>336</v>
      </c>
      <c r="Q69" s="56"/>
      <c r="R69" s="56"/>
      <c r="S69" s="57"/>
      <c r="T69" s="54"/>
      <c r="U69" s="56" t="s">
        <v>12</v>
      </c>
      <c r="V69" s="56"/>
      <c r="W69" s="56"/>
      <c r="X69" s="57"/>
    </row>
    <row r="70" spans="1:64" ht="16" customHeight="1" x14ac:dyDescent="0.25">
      <c r="A70" s="58" t="s">
        <v>22</v>
      </c>
      <c r="B70" s="56"/>
      <c r="C70" s="56"/>
      <c r="D70" s="59"/>
      <c r="E70" s="53"/>
      <c r="F70" s="60">
        <v>8</v>
      </c>
      <c r="G70" s="60"/>
      <c r="H70" s="60"/>
      <c r="I70" s="55" t="s">
        <v>247</v>
      </c>
      <c r="J70" s="53"/>
      <c r="K70" s="61">
        <v>6</v>
      </c>
      <c r="L70" s="61"/>
      <c r="M70" s="61"/>
      <c r="N70" s="55" t="s">
        <v>247</v>
      </c>
      <c r="O70" s="54"/>
      <c r="P70" s="61">
        <v>11</v>
      </c>
      <c r="Q70" s="61"/>
      <c r="R70" s="61"/>
      <c r="S70" s="55" t="s">
        <v>247</v>
      </c>
      <c r="T70" s="53"/>
      <c r="U70" s="62">
        <f>F70*K70</f>
        <v>48</v>
      </c>
      <c r="V70" s="62"/>
      <c r="W70" s="62"/>
      <c r="X70" s="55" t="s">
        <v>337</v>
      </c>
    </row>
    <row r="71" spans="1:64" ht="16" customHeight="1" x14ac:dyDescent="0.25">
      <c r="P71" s="32"/>
      <c r="Q71" s="52"/>
      <c r="R71" s="52"/>
      <c r="S71" s="52"/>
    </row>
    <row r="72" spans="1:64" ht="16" customHeight="1" x14ac:dyDescent="0.25">
      <c r="A72" s="21"/>
    </row>
    <row r="73" spans="1:64" ht="16" customHeight="1" x14ac:dyDescent="0.25">
      <c r="A73" s="4" t="s">
        <v>52</v>
      </c>
    </row>
    <row r="74" spans="1:64" ht="16" customHeight="1" x14ac:dyDescent="0.25">
      <c r="A74" s="63" t="s">
        <v>249</v>
      </c>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20"/>
    </row>
    <row r="75" spans="1:64" ht="16" customHeight="1" x14ac:dyDescent="0.25">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4"/>
      <c r="AG75" s="64"/>
    </row>
    <row r="76" spans="1:64" ht="16" customHeight="1"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row>
    <row r="77" spans="1:64" ht="16" customHeight="1" x14ac:dyDescent="0.25">
      <c r="A77" s="4" t="s">
        <v>10</v>
      </c>
      <c r="AE77" s="24" t="s">
        <v>113</v>
      </c>
    </row>
    <row r="78" spans="1:64" ht="16" customHeight="1" x14ac:dyDescent="0.25">
      <c r="A78" s="35" t="s">
        <v>111</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20"/>
    </row>
    <row r="79" spans="1:64" ht="16" customHeight="1" x14ac:dyDescent="0.25">
      <c r="A79" s="7" t="s">
        <v>11</v>
      </c>
    </row>
    <row r="80" spans="1:64" ht="16" customHeight="1" x14ac:dyDescent="0.25">
      <c r="A80" s="7" t="s">
        <v>26</v>
      </c>
    </row>
    <row r="81" spans="1:32" ht="16" customHeight="1" x14ac:dyDescent="0.25">
      <c r="A81" s="35" t="s">
        <v>260</v>
      </c>
    </row>
    <row r="82" spans="1:32" ht="16" customHeight="1" x14ac:dyDescent="0.25">
      <c r="A82" s="7" t="s">
        <v>185</v>
      </c>
    </row>
    <row r="84" spans="1:32" ht="16" customHeight="1" x14ac:dyDescent="0.25">
      <c r="A84" s="12" t="s">
        <v>27</v>
      </c>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24" t="s">
        <v>114</v>
      </c>
      <c r="AF84" s="64"/>
    </row>
    <row r="85" spans="1:32" ht="16" customHeight="1" x14ac:dyDescent="0.25">
      <c r="A85" s="66" t="s">
        <v>112</v>
      </c>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F85" s="64"/>
    </row>
    <row r="86" spans="1:32" ht="16" customHeight="1" x14ac:dyDescent="0.25">
      <c r="A86" s="67" t="s">
        <v>62</v>
      </c>
      <c r="C86" s="64"/>
      <c r="D86" s="64"/>
      <c r="E86" s="64"/>
      <c r="F86" s="64"/>
      <c r="G86" s="64"/>
      <c r="H86" s="64"/>
      <c r="I86" s="64"/>
      <c r="J86" s="64"/>
      <c r="K86" s="64"/>
      <c r="L86" s="64"/>
      <c r="M86" s="64"/>
      <c r="N86" s="64"/>
      <c r="O86" s="64"/>
      <c r="P86" s="24" t="s">
        <v>338</v>
      </c>
      <c r="Q86" s="68">
        <f>BK65*Q30*$Q$23/1000</f>
        <v>0.60908752490716622</v>
      </c>
      <c r="R86" s="68"/>
      <c r="S86" s="68"/>
      <c r="T86" s="7" t="s">
        <v>1</v>
      </c>
      <c r="U86" s="64"/>
      <c r="V86" s="64"/>
      <c r="W86" s="64"/>
      <c r="X86" s="64"/>
      <c r="Y86" s="64"/>
      <c r="Z86" s="64"/>
      <c r="AA86" s="64"/>
      <c r="AB86" s="64"/>
      <c r="AC86" s="64"/>
      <c r="AD86" s="64"/>
      <c r="AF86" s="64"/>
    </row>
    <row r="87" spans="1:32" ht="16" customHeight="1" x14ac:dyDescent="0.25">
      <c r="A87" s="35" t="s">
        <v>173</v>
      </c>
      <c r="B87" s="15"/>
      <c r="C87" s="15"/>
      <c r="D87" s="15"/>
      <c r="E87" s="15"/>
      <c r="F87" s="15"/>
      <c r="G87" s="15"/>
      <c r="H87" s="15"/>
      <c r="I87" s="15"/>
      <c r="J87" s="15"/>
      <c r="K87" s="15"/>
      <c r="L87" s="15"/>
      <c r="M87" s="15"/>
      <c r="N87" s="15"/>
      <c r="O87" s="15"/>
      <c r="P87" s="24" t="s">
        <v>339</v>
      </c>
      <c r="Q87" s="68">
        <f>BH63*Q35*$Q$23/1000</f>
        <v>0.25455899848032942</v>
      </c>
      <c r="R87" s="68"/>
      <c r="S87" s="68"/>
      <c r="T87" s="7" t="s">
        <v>1</v>
      </c>
      <c r="U87" s="15"/>
      <c r="V87" s="15"/>
      <c r="W87" s="15"/>
      <c r="X87" s="15"/>
      <c r="Y87" s="15"/>
      <c r="Z87" s="15"/>
      <c r="AA87" s="15"/>
      <c r="AB87" s="15"/>
      <c r="AC87" s="15"/>
      <c r="AD87" s="15"/>
    </row>
    <row r="88" spans="1:32" ht="16" customHeight="1" x14ac:dyDescent="0.25">
      <c r="A88" s="21" t="s">
        <v>63</v>
      </c>
      <c r="P88" s="24" t="s">
        <v>340</v>
      </c>
      <c r="Q88" s="68">
        <f>SUM(U70:W70)*(0.21875/12)*$Q$26/1000</f>
        <v>0.15312500000000001</v>
      </c>
      <c r="R88" s="68"/>
      <c r="S88" s="68"/>
      <c r="T88" s="7" t="s">
        <v>1</v>
      </c>
      <c r="V88" s="66" t="s">
        <v>110</v>
      </c>
    </row>
    <row r="89" spans="1:32" ht="16" customHeight="1" x14ac:dyDescent="0.25">
      <c r="A89" s="21" t="s">
        <v>188</v>
      </c>
      <c r="P89" s="24" t="s">
        <v>341</v>
      </c>
      <c r="Q89" s="68">
        <f>0.5*Q88</f>
        <v>7.6562500000000006E-2</v>
      </c>
      <c r="R89" s="68"/>
      <c r="S89" s="68"/>
      <c r="T89" s="7" t="s">
        <v>1</v>
      </c>
      <c r="V89" s="66" t="s">
        <v>174</v>
      </c>
    </row>
    <row r="90" spans="1:32" ht="16" customHeight="1" x14ac:dyDescent="0.25">
      <c r="A90" s="21"/>
      <c r="P90" s="32"/>
    </row>
    <row r="91" spans="1:32" ht="16" customHeight="1" x14ac:dyDescent="0.25">
      <c r="A91" s="12" t="s">
        <v>42</v>
      </c>
      <c r="P91" s="32"/>
      <c r="AE91" s="24" t="s">
        <v>115</v>
      </c>
    </row>
    <row r="92" spans="1:32" ht="16" customHeight="1" x14ac:dyDescent="0.25">
      <c r="E92" s="21"/>
      <c r="T92" s="51"/>
      <c r="U92" s="51"/>
      <c r="V92" s="51"/>
    </row>
    <row r="93" spans="1:32" ht="16" customHeight="1" x14ac:dyDescent="0.25">
      <c r="A93" s="16" t="s">
        <v>186</v>
      </c>
      <c r="E93" s="21"/>
      <c r="Q93" s="69" t="s">
        <v>44</v>
      </c>
      <c r="R93" s="69"/>
      <c r="S93" s="69"/>
      <c r="T93" s="16"/>
      <c r="U93" s="51"/>
      <c r="V93" s="51"/>
    </row>
    <row r="94" spans="1:32" ht="16" customHeight="1" x14ac:dyDescent="0.25">
      <c r="A94" s="16"/>
      <c r="E94" s="21"/>
      <c r="Q94" s="11"/>
      <c r="R94" s="11"/>
      <c r="S94" s="11"/>
      <c r="T94" s="16"/>
      <c r="U94" s="51"/>
      <c r="V94" s="51"/>
    </row>
    <row r="95" spans="1:32" ht="16" customHeight="1" x14ac:dyDescent="0.25">
      <c r="A95" s="12" t="s">
        <v>157</v>
      </c>
      <c r="P95" s="32"/>
      <c r="AE95" s="24" t="s">
        <v>158</v>
      </c>
    </row>
    <row r="96" spans="1:32" ht="16" customHeight="1" x14ac:dyDescent="0.25">
      <c r="E96" s="21"/>
      <c r="T96" s="51"/>
      <c r="U96" s="51"/>
      <c r="V96" s="51"/>
    </row>
    <row r="97" spans="1:60" ht="16" customHeight="1" x14ac:dyDescent="0.25">
      <c r="A97" s="16" t="s">
        <v>187</v>
      </c>
      <c r="E97" s="21"/>
      <c r="Q97" s="69" t="s">
        <v>44</v>
      </c>
      <c r="R97" s="69"/>
      <c r="S97" s="69"/>
      <c r="T97" s="16"/>
      <c r="U97" s="51"/>
      <c r="V97" s="51"/>
    </row>
    <row r="98" spans="1:60" ht="16" customHeight="1" x14ac:dyDescent="0.25">
      <c r="A98" s="16"/>
      <c r="E98" s="21"/>
      <c r="Q98" s="11"/>
      <c r="R98" s="11"/>
      <c r="S98" s="11"/>
      <c r="T98" s="16"/>
      <c r="U98" s="51"/>
      <c r="V98" s="51"/>
      <c r="BG98" s="7" t="s">
        <v>48</v>
      </c>
    </row>
    <row r="99" spans="1:60" ht="16" customHeight="1" x14ac:dyDescent="0.25">
      <c r="A99" s="12" t="s">
        <v>41</v>
      </c>
      <c r="P99" s="32"/>
      <c r="AE99" s="24" t="s">
        <v>116</v>
      </c>
      <c r="BG99" s="7" t="s">
        <v>49</v>
      </c>
      <c r="BH99" s="7" t="s">
        <v>48</v>
      </c>
    </row>
    <row r="100" spans="1:60" ht="16" customHeight="1" x14ac:dyDescent="0.25">
      <c r="E100" s="21"/>
      <c r="T100" s="51"/>
      <c r="U100" s="51"/>
      <c r="V100" s="51"/>
      <c r="BG100" s="7" t="s">
        <v>49</v>
      </c>
      <c r="BH100" s="7" t="s">
        <v>48</v>
      </c>
    </row>
    <row r="101" spans="1:60" ht="16" customHeight="1" x14ac:dyDescent="0.25">
      <c r="A101" s="7" t="s">
        <v>45</v>
      </c>
      <c r="E101" s="21"/>
      <c r="P101" s="70" t="s">
        <v>47</v>
      </c>
      <c r="Q101" s="71">
        <v>1700</v>
      </c>
      <c r="R101" s="71"/>
      <c r="S101" s="71"/>
      <c r="T101" s="51"/>
      <c r="U101" s="51"/>
      <c r="V101" s="51"/>
      <c r="AE101" s="24" t="s">
        <v>269</v>
      </c>
      <c r="BG101" s="11" t="s">
        <v>50</v>
      </c>
      <c r="BH101" s="7">
        <v>0.84</v>
      </c>
    </row>
    <row r="102" spans="1:60" ht="16" customHeight="1" x14ac:dyDescent="0.25">
      <c r="A102" s="16" t="s">
        <v>37</v>
      </c>
      <c r="E102" s="21"/>
      <c r="P102" s="70" t="s">
        <v>46</v>
      </c>
      <c r="Q102" s="30">
        <v>120</v>
      </c>
      <c r="R102" s="30"/>
      <c r="S102" s="30"/>
      <c r="T102" s="16" t="s">
        <v>40</v>
      </c>
      <c r="U102" s="51"/>
      <c r="V102" s="51"/>
      <c r="AE102" s="24" t="s">
        <v>269</v>
      </c>
      <c r="BG102" s="72">
        <v>20</v>
      </c>
      <c r="BH102" s="7">
        <v>0.9</v>
      </c>
    </row>
    <row r="103" spans="1:60" ht="16" customHeight="1" x14ac:dyDescent="0.35">
      <c r="A103" s="16" t="s">
        <v>191</v>
      </c>
      <c r="E103" s="21"/>
      <c r="P103" s="70" t="s">
        <v>342</v>
      </c>
      <c r="Q103" s="30">
        <f>2*((Q30-Q34)/900)^(2/9.5)</f>
        <v>0.90207555000241024</v>
      </c>
      <c r="R103" s="30"/>
      <c r="S103" s="30"/>
      <c r="T103" s="16"/>
      <c r="U103" s="51"/>
      <c r="V103" s="51"/>
      <c r="AE103" s="24" t="s">
        <v>190</v>
      </c>
      <c r="BG103" s="72">
        <v>30</v>
      </c>
      <c r="BH103" s="7">
        <v>0.98</v>
      </c>
    </row>
    <row r="104" spans="1:60" ht="16" customHeight="1" x14ac:dyDescent="0.35">
      <c r="A104" s="16" t="s">
        <v>192</v>
      </c>
      <c r="E104" s="21"/>
      <c r="P104" s="70" t="s">
        <v>342</v>
      </c>
      <c r="Q104" s="30">
        <f>IF((0.33*Q30)&lt;16,2*(16/900)^(2/9.5),2*((Q30-Q34)/900)^(2/9.5))</f>
        <v>0.85621562292901143</v>
      </c>
      <c r="R104" s="30"/>
      <c r="S104" s="30"/>
      <c r="T104" s="16"/>
      <c r="U104" s="51"/>
      <c r="V104" s="51"/>
      <c r="AE104" s="24" t="s">
        <v>190</v>
      </c>
      <c r="BG104" s="72">
        <v>40</v>
      </c>
      <c r="BH104" s="7">
        <v>1.04</v>
      </c>
    </row>
    <row r="105" spans="1:60" ht="16" customHeight="1" x14ac:dyDescent="0.35">
      <c r="A105" s="16" t="s">
        <v>35</v>
      </c>
      <c r="E105" s="21"/>
      <c r="P105" s="70" t="s">
        <v>343</v>
      </c>
      <c r="Q105" s="30">
        <v>0.85</v>
      </c>
      <c r="R105" s="30"/>
      <c r="S105" s="30"/>
      <c r="T105" s="16"/>
      <c r="U105" s="51"/>
      <c r="V105" s="51"/>
      <c r="AE105" s="24" t="s">
        <v>117</v>
      </c>
      <c r="BG105" s="72">
        <v>50</v>
      </c>
      <c r="BH105" s="7">
        <v>1.0900000000000001</v>
      </c>
    </row>
    <row r="106" spans="1:60" ht="16" customHeight="1" x14ac:dyDescent="0.25">
      <c r="A106" s="16" t="s">
        <v>36</v>
      </c>
      <c r="E106" s="21"/>
      <c r="P106" s="70" t="s">
        <v>39</v>
      </c>
      <c r="Q106" s="30">
        <v>1.1399999999999999</v>
      </c>
      <c r="R106" s="30"/>
      <c r="S106" s="30"/>
      <c r="T106" s="16"/>
      <c r="U106" s="51"/>
      <c r="V106" s="51"/>
      <c r="AE106" s="24" t="s">
        <v>118</v>
      </c>
      <c r="BG106" s="72">
        <v>60</v>
      </c>
      <c r="BH106" s="7">
        <v>1.1299999999999999</v>
      </c>
    </row>
    <row r="107" spans="1:60" ht="16" customHeight="1" x14ac:dyDescent="0.35">
      <c r="A107" s="16" t="s">
        <v>120</v>
      </c>
      <c r="E107" s="21"/>
      <c r="P107" s="70" t="s">
        <v>344</v>
      </c>
      <c r="Q107" s="30">
        <v>0.8</v>
      </c>
      <c r="R107" s="30"/>
      <c r="S107" s="30"/>
      <c r="T107" s="16"/>
      <c r="U107" s="51"/>
      <c r="V107" s="51"/>
      <c r="AE107" s="24" t="s">
        <v>119</v>
      </c>
      <c r="BG107" s="72">
        <v>70</v>
      </c>
      <c r="BH107" s="7">
        <v>1.17</v>
      </c>
    </row>
    <row r="108" spans="1:60" ht="16" customHeight="1" x14ac:dyDescent="0.35">
      <c r="A108" s="16"/>
      <c r="E108" s="21"/>
      <c r="P108" s="70" t="s">
        <v>345</v>
      </c>
      <c r="Q108" s="68">
        <f>Q107*Q102*(AVERAGE(Q31:S32)/12)</f>
        <v>112</v>
      </c>
      <c r="R108" s="68"/>
      <c r="S108" s="68"/>
      <c r="T108" s="16"/>
      <c r="U108" s="51"/>
      <c r="V108" s="51"/>
      <c r="BG108" s="72">
        <v>80</v>
      </c>
      <c r="BH108" s="7">
        <v>1.2</v>
      </c>
    </row>
    <row r="109" spans="1:60" ht="16" customHeight="1" x14ac:dyDescent="0.35">
      <c r="A109" s="16" t="s">
        <v>51</v>
      </c>
      <c r="E109" s="21"/>
      <c r="P109" s="70" t="s">
        <v>346</v>
      </c>
      <c r="Q109" s="30">
        <v>1</v>
      </c>
      <c r="R109" s="30"/>
      <c r="S109" s="30"/>
      <c r="T109" s="16"/>
      <c r="U109" s="51"/>
      <c r="V109" s="51"/>
      <c r="AE109" s="24" t="s">
        <v>119</v>
      </c>
      <c r="BG109" s="72">
        <v>90</v>
      </c>
      <c r="BH109" s="7">
        <v>1.23</v>
      </c>
    </row>
    <row r="110" spans="1:60" ht="16" customHeight="1" x14ac:dyDescent="0.35">
      <c r="A110" s="16"/>
      <c r="E110" s="21"/>
      <c r="P110" s="70" t="s">
        <v>345</v>
      </c>
      <c r="Q110" s="68">
        <f>Q109*Q102*(AVERAGE(Q31:S32)/12)</f>
        <v>140</v>
      </c>
      <c r="R110" s="68"/>
      <c r="S110" s="68"/>
      <c r="T110" s="16"/>
      <c r="U110" s="51"/>
      <c r="V110" s="51"/>
      <c r="BG110" s="72">
        <v>90</v>
      </c>
      <c r="BH110" s="7">
        <v>1.23</v>
      </c>
    </row>
    <row r="111" spans="1:60" ht="16" customHeight="1" x14ac:dyDescent="0.35">
      <c r="A111" s="16" t="s">
        <v>148</v>
      </c>
      <c r="E111" s="21"/>
      <c r="P111" s="70" t="s">
        <v>347</v>
      </c>
      <c r="Q111" s="30">
        <v>0.45</v>
      </c>
      <c r="R111" s="30"/>
      <c r="S111" s="30"/>
      <c r="U111" s="51"/>
      <c r="V111" s="51"/>
      <c r="AE111" s="24" t="s">
        <v>119</v>
      </c>
      <c r="BG111" s="72">
        <v>100</v>
      </c>
      <c r="BH111" s="7">
        <v>1.26</v>
      </c>
    </row>
    <row r="112" spans="1:60" ht="16" customHeight="1" x14ac:dyDescent="0.35">
      <c r="A112" s="16" t="s">
        <v>142</v>
      </c>
      <c r="E112" s="21"/>
      <c r="P112" s="70" t="s">
        <v>348</v>
      </c>
      <c r="Q112" s="30">
        <v>1.19</v>
      </c>
      <c r="R112" s="30"/>
      <c r="S112" s="30"/>
      <c r="U112" s="73" t="s">
        <v>193</v>
      </c>
      <c r="V112" s="51"/>
      <c r="AE112" s="24" t="s">
        <v>119</v>
      </c>
      <c r="BG112" s="72"/>
    </row>
    <row r="113" spans="1:60" ht="16" customHeight="1" x14ac:dyDescent="0.25">
      <c r="A113" s="16" t="s">
        <v>146</v>
      </c>
      <c r="E113" s="21"/>
      <c r="P113" s="70"/>
      <c r="BG113" s="72">
        <v>100</v>
      </c>
      <c r="BH113" s="7">
        <v>1.26</v>
      </c>
    </row>
    <row r="114" spans="1:60" ht="16" customHeight="1" x14ac:dyDescent="0.25">
      <c r="A114" s="16"/>
      <c r="E114" s="21"/>
      <c r="P114" s="70"/>
      <c r="Q114" s="69">
        <f>0.00256*Q103*Q105*Q106*(Q102^2)*Q111</f>
        <v>14.500456006479705</v>
      </c>
      <c r="R114" s="69"/>
      <c r="S114" s="69"/>
      <c r="T114" s="16" t="s">
        <v>15</v>
      </c>
      <c r="U114" s="51"/>
      <c r="V114" s="51"/>
      <c r="AE114" s="24" t="s">
        <v>121</v>
      </c>
      <c r="BG114" s="72"/>
    </row>
    <row r="115" spans="1:60" ht="16" customHeight="1" x14ac:dyDescent="0.25">
      <c r="A115" s="16" t="s">
        <v>147</v>
      </c>
      <c r="E115" s="21"/>
      <c r="P115" s="70"/>
      <c r="BG115" s="72">
        <v>110</v>
      </c>
      <c r="BH115" s="7">
        <v>1.28</v>
      </c>
    </row>
    <row r="116" spans="1:60" ht="16" customHeight="1" x14ac:dyDescent="0.25">
      <c r="A116" s="16"/>
      <c r="E116" s="21"/>
      <c r="P116" s="70"/>
      <c r="Q116" s="69">
        <f>0.00256*Q103*Q105*Q106*(Q102^2)*Q112</f>
        <v>38.345650328246329</v>
      </c>
      <c r="R116" s="69"/>
      <c r="S116" s="69"/>
      <c r="T116" s="16" t="s">
        <v>15</v>
      </c>
      <c r="U116" s="51"/>
      <c r="V116" s="51"/>
      <c r="AE116" s="24" t="s">
        <v>121</v>
      </c>
      <c r="BG116" s="72">
        <v>120</v>
      </c>
      <c r="BH116" s="7">
        <v>1.31</v>
      </c>
    </row>
    <row r="117" spans="1:60" ht="16" customHeight="1" x14ac:dyDescent="0.35">
      <c r="A117" s="16" t="s">
        <v>143</v>
      </c>
      <c r="E117" s="21"/>
      <c r="P117" s="70" t="s">
        <v>349</v>
      </c>
      <c r="Q117" s="69">
        <f>(AVERAGE($Q$31:$S$32)/12*$Q$30)</f>
        <v>25.666666666666668</v>
      </c>
      <c r="R117" s="69"/>
      <c r="S117" s="69"/>
      <c r="T117" s="7" t="s">
        <v>350</v>
      </c>
      <c r="U117" s="51"/>
      <c r="V117" s="51"/>
      <c r="BG117" s="72">
        <v>130</v>
      </c>
      <c r="BH117" s="7">
        <v>1.33</v>
      </c>
    </row>
    <row r="118" spans="1:60" ht="16" customHeight="1" x14ac:dyDescent="0.35">
      <c r="A118" s="16" t="s">
        <v>144</v>
      </c>
      <c r="E118" s="21"/>
      <c r="P118" s="70" t="s">
        <v>351</v>
      </c>
      <c r="Q118" s="69">
        <f>AVERAGE($Q$31:$S$32)/12*$Q$30</f>
        <v>25.666666666666668</v>
      </c>
      <c r="R118" s="69"/>
      <c r="S118" s="69"/>
      <c r="T118" s="7" t="s">
        <v>350</v>
      </c>
      <c r="U118" s="51"/>
      <c r="V118" s="51"/>
      <c r="BG118" s="72">
        <v>140</v>
      </c>
      <c r="BH118" s="7">
        <v>1.35</v>
      </c>
    </row>
    <row r="119" spans="1:60" ht="16" customHeight="1" x14ac:dyDescent="0.35">
      <c r="A119" s="16" t="s">
        <v>159</v>
      </c>
      <c r="E119" s="21"/>
      <c r="P119" s="70" t="s">
        <v>352</v>
      </c>
      <c r="Q119" s="69">
        <f>(AVERAGE(Q36:S37)/12*Q35)</f>
        <v>10.833333333333334</v>
      </c>
      <c r="R119" s="69"/>
      <c r="S119" s="69"/>
      <c r="T119" s="7" t="s">
        <v>350</v>
      </c>
      <c r="U119" s="51"/>
      <c r="V119" s="51"/>
      <c r="BG119" s="72">
        <v>140</v>
      </c>
      <c r="BH119" s="7">
        <v>1.35</v>
      </c>
    </row>
    <row r="120" spans="1:60" ht="16" customHeight="1" x14ac:dyDescent="0.35">
      <c r="A120" s="16" t="s">
        <v>145</v>
      </c>
      <c r="E120" s="21"/>
      <c r="P120" s="70" t="s">
        <v>353</v>
      </c>
      <c r="Q120" s="69">
        <f>SUM(U70:W70)</f>
        <v>48</v>
      </c>
      <c r="R120" s="69"/>
      <c r="S120" s="69"/>
      <c r="T120" s="7" t="s">
        <v>350</v>
      </c>
      <c r="U120" s="51"/>
      <c r="V120" s="51"/>
      <c r="BG120" s="72">
        <v>150</v>
      </c>
      <c r="BH120" s="7">
        <v>1.37</v>
      </c>
    </row>
    <row r="121" spans="1:60" ht="16" customHeight="1" x14ac:dyDescent="0.35">
      <c r="A121" s="16" t="s">
        <v>38</v>
      </c>
      <c r="E121" s="21"/>
      <c r="P121" s="70" t="s">
        <v>354</v>
      </c>
      <c r="Q121" s="69">
        <f>($Q$114*(Q118))/1000</f>
        <v>0.37217837083297911</v>
      </c>
      <c r="R121" s="69"/>
      <c r="S121" s="69"/>
      <c r="T121" s="16" t="s">
        <v>1</v>
      </c>
      <c r="U121" s="74" t="s">
        <v>355</v>
      </c>
      <c r="V121" s="51"/>
    </row>
    <row r="122" spans="1:60" ht="16" customHeight="1" x14ac:dyDescent="0.35">
      <c r="A122" s="16" t="s">
        <v>199</v>
      </c>
      <c r="E122" s="21"/>
      <c r="P122" s="70" t="s">
        <v>356</v>
      </c>
      <c r="Q122" s="69">
        <f>((Q116*Q120))/1000</f>
        <v>1.8405912157558237</v>
      </c>
      <c r="R122" s="69"/>
      <c r="S122" s="69"/>
      <c r="T122" s="16" t="s">
        <v>1</v>
      </c>
      <c r="U122" s="74" t="s">
        <v>357</v>
      </c>
      <c r="V122" s="51"/>
    </row>
    <row r="123" spans="1:60" ht="16" customHeight="1" x14ac:dyDescent="0.35">
      <c r="A123" s="16" t="s">
        <v>200</v>
      </c>
      <c r="E123" s="21"/>
      <c r="P123" s="70" t="s">
        <v>358</v>
      </c>
      <c r="Q123" s="69">
        <f>(($Q$114*Q119))/1000</f>
        <v>0.15708827340353013</v>
      </c>
      <c r="R123" s="69"/>
      <c r="S123" s="69"/>
      <c r="T123" s="16" t="s">
        <v>1</v>
      </c>
      <c r="U123" s="74" t="s">
        <v>359</v>
      </c>
      <c r="V123" s="51"/>
    </row>
    <row r="124" spans="1:60" ht="16" customHeight="1" x14ac:dyDescent="0.35">
      <c r="A124" s="16" t="s">
        <v>61</v>
      </c>
      <c r="E124" s="21"/>
      <c r="P124" s="70" t="s">
        <v>360</v>
      </c>
      <c r="Q124" s="69">
        <f>($Q$114*(Q117))/1000</f>
        <v>0.37217837083297911</v>
      </c>
      <c r="R124" s="69"/>
      <c r="S124" s="69"/>
      <c r="T124" s="16" t="s">
        <v>1</v>
      </c>
      <c r="U124" s="74" t="s">
        <v>361</v>
      </c>
      <c r="V124" s="51"/>
      <c r="AH124" s="15"/>
      <c r="AI124" s="15"/>
      <c r="AP124" s="7"/>
      <c r="AQ124" s="11"/>
    </row>
    <row r="125" spans="1:60" ht="16" customHeight="1" x14ac:dyDescent="0.25">
      <c r="E125" s="21"/>
      <c r="U125" s="51"/>
      <c r="V125" s="51"/>
      <c r="AH125" s="15"/>
      <c r="AI125" s="15"/>
      <c r="AP125" s="7"/>
      <c r="AQ125" s="11"/>
    </row>
    <row r="126" spans="1:60" ht="16" customHeight="1" x14ac:dyDescent="0.25">
      <c r="A126" s="4" t="s">
        <v>194</v>
      </c>
      <c r="E126" s="21"/>
      <c r="S126" s="32"/>
      <c r="T126" s="51"/>
      <c r="V126" s="51"/>
      <c r="AH126" s="15"/>
      <c r="AI126" s="15"/>
      <c r="AP126" s="7"/>
      <c r="AQ126" s="11"/>
    </row>
    <row r="127" spans="1:60" ht="16" customHeight="1" x14ac:dyDescent="0.25">
      <c r="A127" s="7" t="s">
        <v>195</v>
      </c>
      <c r="E127" s="21"/>
      <c r="S127" s="32"/>
      <c r="T127" s="51"/>
      <c r="U127" s="51"/>
      <c r="V127" s="51"/>
      <c r="AH127" s="15"/>
      <c r="AI127" s="15"/>
      <c r="AP127" s="7"/>
      <c r="AU127" s="11"/>
    </row>
    <row r="128" spans="1:60" ht="54.65" customHeight="1" x14ac:dyDescent="0.25">
      <c r="A128" s="75" t="s">
        <v>53</v>
      </c>
      <c r="B128" s="75"/>
      <c r="C128" s="75"/>
      <c r="D128" s="75" t="s">
        <v>2</v>
      </c>
      <c r="E128" s="75"/>
      <c r="F128" s="75"/>
      <c r="G128" s="75"/>
      <c r="H128" s="75"/>
      <c r="I128" s="76" t="s">
        <v>59</v>
      </c>
      <c r="J128" s="76"/>
      <c r="K128" s="76"/>
      <c r="L128" s="76"/>
      <c r="M128" s="75" t="s">
        <v>58</v>
      </c>
      <c r="N128" s="75"/>
      <c r="O128" s="75"/>
      <c r="P128" s="75"/>
      <c r="Q128" s="77" t="s">
        <v>250</v>
      </c>
      <c r="R128" s="77"/>
      <c r="S128" s="77"/>
      <c r="T128" s="77"/>
      <c r="U128" s="76" t="s">
        <v>60</v>
      </c>
      <c r="V128" s="76"/>
      <c r="W128" s="76"/>
      <c r="X128" s="76"/>
      <c r="Y128" s="77" t="s">
        <v>251</v>
      </c>
      <c r="Z128" s="77"/>
      <c r="AA128" s="77"/>
      <c r="AB128" s="77"/>
      <c r="AC128" s="78"/>
      <c r="AD128" s="78"/>
      <c r="AF128" s="15"/>
      <c r="AG128" s="15"/>
      <c r="AH128" s="15"/>
      <c r="AI128" s="15"/>
      <c r="AP128" s="7"/>
      <c r="AU128" s="11"/>
    </row>
    <row r="129" spans="1:47" ht="15.65" customHeight="1" x14ac:dyDescent="0.25">
      <c r="A129" s="75" t="s">
        <v>362</v>
      </c>
      <c r="B129" s="75"/>
      <c r="C129" s="75"/>
      <c r="D129" s="75" t="s">
        <v>62</v>
      </c>
      <c r="E129" s="75"/>
      <c r="F129" s="75"/>
      <c r="G129" s="75"/>
      <c r="H129" s="75"/>
      <c r="I129" s="79" t="s">
        <v>55</v>
      </c>
      <c r="J129" s="79"/>
      <c r="K129" s="79"/>
      <c r="L129" s="79"/>
      <c r="M129" s="75">
        <f>$Q$86</f>
        <v>0.60908752490716622</v>
      </c>
      <c r="N129" s="75"/>
      <c r="O129" s="75"/>
      <c r="P129" s="75"/>
      <c r="Q129" s="77">
        <f>0</f>
        <v>0</v>
      </c>
      <c r="R129" s="77"/>
      <c r="S129" s="77"/>
      <c r="T129" s="77"/>
      <c r="U129" s="79" t="s">
        <v>57</v>
      </c>
      <c r="V129" s="79"/>
      <c r="W129" s="79"/>
      <c r="X129" s="79"/>
      <c r="Y129" s="77">
        <f t="shared" ref="Y129:Y138" si="0">M129*Q129</f>
        <v>0</v>
      </c>
      <c r="Z129" s="77"/>
      <c r="AA129" s="77"/>
      <c r="AB129" s="77"/>
      <c r="AC129" s="21"/>
      <c r="AD129" s="21"/>
      <c r="AF129" s="15"/>
      <c r="AG129" s="15"/>
      <c r="AH129" s="15"/>
      <c r="AI129" s="15"/>
      <c r="AP129" s="7"/>
      <c r="AU129" s="11"/>
    </row>
    <row r="130" spans="1:47" ht="15.65" customHeight="1" x14ac:dyDescent="0.25">
      <c r="A130" s="75" t="s">
        <v>363</v>
      </c>
      <c r="B130" s="75"/>
      <c r="C130" s="75"/>
      <c r="D130" s="75" t="s">
        <v>173</v>
      </c>
      <c r="E130" s="75"/>
      <c r="F130" s="75"/>
      <c r="G130" s="75"/>
      <c r="H130" s="75"/>
      <c r="I130" s="79" t="s">
        <v>55</v>
      </c>
      <c r="J130" s="79"/>
      <c r="K130" s="79"/>
      <c r="L130" s="79"/>
      <c r="M130" s="75">
        <f>$Q$87</f>
        <v>0.25455899848032942</v>
      </c>
      <c r="N130" s="75"/>
      <c r="O130" s="75"/>
      <c r="P130" s="75"/>
      <c r="Q130" s="77">
        <f>($Q$35*(2*(Q37/12))+(Q36/12))/(3*((Q37+Q36)/12))</f>
        <v>4.3076923076923075</v>
      </c>
      <c r="R130" s="77"/>
      <c r="S130" s="77"/>
      <c r="T130" s="77"/>
      <c r="U130" s="79" t="s">
        <v>57</v>
      </c>
      <c r="V130" s="79"/>
      <c r="W130" s="79"/>
      <c r="X130" s="79"/>
      <c r="Y130" s="77">
        <f t="shared" si="0"/>
        <v>1.0965618396075729</v>
      </c>
      <c r="Z130" s="77"/>
      <c r="AA130" s="77"/>
      <c r="AB130" s="77"/>
      <c r="AC130" s="21"/>
      <c r="AD130" s="21"/>
      <c r="AF130" s="15"/>
      <c r="AG130" s="15"/>
      <c r="AH130" s="15"/>
      <c r="AI130" s="15"/>
      <c r="AP130" s="7"/>
      <c r="AU130" s="11"/>
    </row>
    <row r="131" spans="1:47" ht="15.65" customHeight="1" x14ac:dyDescent="0.25">
      <c r="A131" s="75" t="s">
        <v>364</v>
      </c>
      <c r="B131" s="75"/>
      <c r="C131" s="75"/>
      <c r="D131" s="75" t="s">
        <v>63</v>
      </c>
      <c r="E131" s="75"/>
      <c r="F131" s="75"/>
      <c r="G131" s="75"/>
      <c r="H131" s="75"/>
      <c r="I131" s="79" t="s">
        <v>55</v>
      </c>
      <c r="J131" s="79"/>
      <c r="K131" s="79"/>
      <c r="L131" s="79"/>
      <c r="M131" s="75">
        <f>$Q$88</f>
        <v>0.15312500000000001</v>
      </c>
      <c r="N131" s="75"/>
      <c r="O131" s="75"/>
      <c r="P131" s="75"/>
      <c r="Q131" s="77">
        <f>$P$70</f>
        <v>11</v>
      </c>
      <c r="R131" s="77"/>
      <c r="S131" s="77"/>
      <c r="T131" s="77"/>
      <c r="U131" s="79" t="s">
        <v>57</v>
      </c>
      <c r="V131" s="79"/>
      <c r="W131" s="79"/>
      <c r="X131" s="79"/>
      <c r="Y131" s="77">
        <f t="shared" si="0"/>
        <v>1.6843750000000002</v>
      </c>
      <c r="Z131" s="77"/>
      <c r="AA131" s="77"/>
      <c r="AB131" s="77"/>
      <c r="AC131" s="21"/>
      <c r="AD131" s="21"/>
      <c r="AF131" s="15"/>
      <c r="AG131" s="15"/>
      <c r="AH131" s="15"/>
      <c r="AI131" s="15"/>
      <c r="AP131" s="7"/>
      <c r="AU131" s="11"/>
    </row>
    <row r="132" spans="1:47" ht="15.65" customHeight="1" x14ac:dyDescent="0.25">
      <c r="A132" s="75" t="s">
        <v>365</v>
      </c>
      <c r="B132" s="75"/>
      <c r="C132" s="75"/>
      <c r="D132" s="75" t="s">
        <v>64</v>
      </c>
      <c r="E132" s="75"/>
      <c r="F132" s="75"/>
      <c r="G132" s="75"/>
      <c r="H132" s="75"/>
      <c r="I132" s="79" t="s">
        <v>55</v>
      </c>
      <c r="J132" s="79"/>
      <c r="K132" s="79"/>
      <c r="L132" s="79"/>
      <c r="M132" s="75">
        <f>$Q$89</f>
        <v>7.6562500000000006E-2</v>
      </c>
      <c r="N132" s="75"/>
      <c r="O132" s="75"/>
      <c r="P132" s="75"/>
      <c r="Q132" s="77">
        <f>Q131</f>
        <v>11</v>
      </c>
      <c r="R132" s="77"/>
      <c r="S132" s="77"/>
      <c r="T132" s="77"/>
      <c r="U132" s="79" t="s">
        <v>57</v>
      </c>
      <c r="V132" s="79"/>
      <c r="W132" s="79"/>
      <c r="X132" s="79"/>
      <c r="Y132" s="77">
        <f t="shared" si="0"/>
        <v>0.84218750000000009</v>
      </c>
      <c r="Z132" s="77"/>
      <c r="AA132" s="77"/>
      <c r="AB132" s="77"/>
      <c r="AC132" s="21"/>
      <c r="AD132" s="21"/>
      <c r="AF132" s="15"/>
      <c r="AG132" s="15"/>
      <c r="AH132" s="15"/>
      <c r="AI132" s="15"/>
      <c r="AP132" s="7"/>
      <c r="AU132" s="11"/>
    </row>
    <row r="133" spans="1:47" ht="15.65" customHeight="1" x14ac:dyDescent="0.25">
      <c r="A133" s="75" t="s">
        <v>54</v>
      </c>
      <c r="B133" s="75"/>
      <c r="C133" s="75"/>
      <c r="D133" s="75" t="s">
        <v>65</v>
      </c>
      <c r="E133" s="75"/>
      <c r="F133" s="75"/>
      <c r="G133" s="75"/>
      <c r="H133" s="75"/>
      <c r="I133" s="79" t="s">
        <v>55</v>
      </c>
      <c r="J133" s="79"/>
      <c r="K133" s="79"/>
      <c r="L133" s="79"/>
      <c r="M133" s="75">
        <f>0</f>
        <v>0</v>
      </c>
      <c r="N133" s="75"/>
      <c r="O133" s="75"/>
      <c r="P133" s="75"/>
      <c r="Q133" s="77">
        <f>0</f>
        <v>0</v>
      </c>
      <c r="R133" s="77"/>
      <c r="S133" s="77"/>
      <c r="T133" s="77"/>
      <c r="U133" s="79" t="s">
        <v>57</v>
      </c>
      <c r="V133" s="79"/>
      <c r="W133" s="79"/>
      <c r="X133" s="79"/>
      <c r="Y133" s="77">
        <f t="shared" si="0"/>
        <v>0</v>
      </c>
      <c r="Z133" s="77"/>
      <c r="AA133" s="77"/>
      <c r="AB133" s="77"/>
      <c r="AC133" s="21"/>
      <c r="AD133" s="21"/>
      <c r="AF133" s="15"/>
      <c r="AG133" s="15"/>
      <c r="AH133" s="15"/>
      <c r="AI133" s="15"/>
      <c r="AP133" s="7"/>
      <c r="AU133" s="11"/>
    </row>
    <row r="134" spans="1:47" ht="15.65" customHeight="1" x14ac:dyDescent="0.25">
      <c r="A134" s="75" t="s">
        <v>366</v>
      </c>
      <c r="B134" s="75"/>
      <c r="C134" s="75"/>
      <c r="D134" s="75" t="s">
        <v>160</v>
      </c>
      <c r="E134" s="75"/>
      <c r="F134" s="75"/>
      <c r="G134" s="75"/>
      <c r="H134" s="75"/>
      <c r="I134" s="79" t="s">
        <v>56</v>
      </c>
      <c r="J134" s="79"/>
      <c r="K134" s="79"/>
      <c r="L134" s="79"/>
      <c r="M134" s="75">
        <f>$Q$121</f>
        <v>0.37217837083297911</v>
      </c>
      <c r="N134" s="75"/>
      <c r="O134" s="75"/>
      <c r="P134" s="75"/>
      <c r="Q134" s="77">
        <f>($Q$30*(2*(Q32/12))+(Q31/12))/(3*((Q32+Q31)/12))</f>
        <v>6.7321428571428568</v>
      </c>
      <c r="R134" s="77"/>
      <c r="S134" s="77"/>
      <c r="T134" s="77"/>
      <c r="U134" s="79" t="s">
        <v>57</v>
      </c>
      <c r="V134" s="79"/>
      <c r="W134" s="79"/>
      <c r="X134" s="79"/>
      <c r="Y134" s="77">
        <f t="shared" si="0"/>
        <v>2.5055579607863057</v>
      </c>
      <c r="Z134" s="77"/>
      <c r="AA134" s="77"/>
      <c r="AB134" s="77"/>
      <c r="AC134" s="21"/>
      <c r="AD134" s="21"/>
      <c r="AF134" s="15"/>
      <c r="AG134" s="15"/>
      <c r="AH134" s="15"/>
      <c r="AI134" s="15"/>
      <c r="AP134" s="7"/>
      <c r="AU134" s="11"/>
    </row>
    <row r="135" spans="1:47" ht="26.5" customHeight="1" x14ac:dyDescent="0.25">
      <c r="A135" s="75" t="s">
        <v>367</v>
      </c>
      <c r="B135" s="75"/>
      <c r="C135" s="75"/>
      <c r="D135" s="77" t="s">
        <v>161</v>
      </c>
      <c r="E135" s="77"/>
      <c r="F135" s="77"/>
      <c r="G135" s="77"/>
      <c r="H135" s="77"/>
      <c r="I135" s="79" t="s">
        <v>57</v>
      </c>
      <c r="J135" s="79"/>
      <c r="K135" s="79"/>
      <c r="L135" s="79"/>
      <c r="M135" s="75">
        <f>$Q$122+Q123</f>
        <v>1.9976794891593539</v>
      </c>
      <c r="N135" s="75"/>
      <c r="O135" s="75"/>
      <c r="P135" s="75"/>
      <c r="Q135" s="77">
        <f>$Q$30-$Q$34</f>
        <v>20.5</v>
      </c>
      <c r="R135" s="77"/>
      <c r="S135" s="77"/>
      <c r="T135" s="77"/>
      <c r="U135" s="79" t="s">
        <v>56</v>
      </c>
      <c r="V135" s="79"/>
      <c r="W135" s="79"/>
      <c r="X135" s="79"/>
      <c r="Y135" s="77">
        <f t="shared" si="0"/>
        <v>40.952429527766753</v>
      </c>
      <c r="Z135" s="77"/>
      <c r="AA135" s="77"/>
      <c r="AB135" s="77"/>
      <c r="AC135" s="21"/>
      <c r="AD135" s="21"/>
      <c r="AF135" s="15"/>
      <c r="AG135" s="15"/>
      <c r="AP135" s="7"/>
      <c r="AT135" s="11"/>
    </row>
    <row r="136" spans="1:47" ht="15.65" customHeight="1" x14ac:dyDescent="0.25">
      <c r="A136" s="75" t="s">
        <v>368</v>
      </c>
      <c r="B136" s="75"/>
      <c r="C136" s="75"/>
      <c r="D136" s="77" t="s">
        <v>197</v>
      </c>
      <c r="E136" s="77"/>
      <c r="F136" s="77"/>
      <c r="G136" s="77"/>
      <c r="H136" s="77"/>
      <c r="I136" s="79" t="s">
        <v>57</v>
      </c>
      <c r="J136" s="79"/>
      <c r="K136" s="79"/>
      <c r="L136" s="79"/>
      <c r="M136" s="75">
        <f>$Q$122</f>
        <v>1.8405912157558237</v>
      </c>
      <c r="N136" s="75"/>
      <c r="O136" s="75"/>
      <c r="P136" s="75"/>
      <c r="Q136" s="77">
        <f>Q131</f>
        <v>11</v>
      </c>
      <c r="R136" s="77"/>
      <c r="S136" s="77"/>
      <c r="T136" s="77"/>
      <c r="U136" s="79" t="s">
        <v>55</v>
      </c>
      <c r="V136" s="79"/>
      <c r="W136" s="79"/>
      <c r="X136" s="79"/>
      <c r="Y136" s="77">
        <f t="shared" ref="Y136" si="1">M136*Q136</f>
        <v>20.246503373314063</v>
      </c>
      <c r="Z136" s="77"/>
      <c r="AA136" s="77"/>
      <c r="AB136" s="77"/>
      <c r="AC136" s="21"/>
      <c r="AD136" s="21"/>
      <c r="AF136" s="15"/>
      <c r="AG136" s="15"/>
      <c r="AP136" s="7"/>
    </row>
    <row r="137" spans="1:47" ht="15.65" customHeight="1" x14ac:dyDescent="0.25">
      <c r="A137" s="75" t="s">
        <v>369</v>
      </c>
      <c r="B137" s="75"/>
      <c r="C137" s="75"/>
      <c r="D137" s="77" t="s">
        <v>198</v>
      </c>
      <c r="E137" s="77"/>
      <c r="F137" s="77"/>
      <c r="G137" s="77"/>
      <c r="H137" s="77"/>
      <c r="I137" s="79" t="s">
        <v>57</v>
      </c>
      <c r="J137" s="79"/>
      <c r="K137" s="79"/>
      <c r="L137" s="79"/>
      <c r="M137" s="75">
        <f>$Q$123</f>
        <v>0.15708827340353013</v>
      </c>
      <c r="N137" s="75"/>
      <c r="O137" s="75"/>
      <c r="P137" s="75"/>
      <c r="Q137" s="77">
        <f>($Q$35*(2*(Q37/12))+(Q36/12))/(3*((Q37+Q36)/12))</f>
        <v>4.3076923076923075</v>
      </c>
      <c r="R137" s="77"/>
      <c r="S137" s="77"/>
      <c r="T137" s="77"/>
      <c r="U137" s="79" t="s">
        <v>55</v>
      </c>
      <c r="V137" s="79"/>
      <c r="W137" s="79"/>
      <c r="X137" s="79"/>
      <c r="Y137" s="77">
        <f t="shared" ref="Y137" si="2">M137*Q137</f>
        <v>0.67668794696905277</v>
      </c>
      <c r="Z137" s="77"/>
      <c r="AA137" s="77"/>
      <c r="AB137" s="77"/>
      <c r="AC137" s="21"/>
      <c r="AD137" s="21"/>
      <c r="AF137" s="15"/>
      <c r="AG137" s="15"/>
      <c r="AP137" s="7"/>
    </row>
    <row r="138" spans="1:47" ht="15.65" customHeight="1" x14ac:dyDescent="0.25">
      <c r="A138" s="75" t="s">
        <v>370</v>
      </c>
      <c r="B138" s="75"/>
      <c r="C138" s="75"/>
      <c r="D138" s="75" t="s">
        <v>160</v>
      </c>
      <c r="E138" s="75"/>
      <c r="F138" s="75"/>
      <c r="G138" s="75"/>
      <c r="H138" s="75"/>
      <c r="I138" s="79" t="s">
        <v>57</v>
      </c>
      <c r="J138" s="79"/>
      <c r="K138" s="79"/>
      <c r="L138" s="79"/>
      <c r="M138" s="75">
        <f>$Q$124</f>
        <v>0.37217837083297911</v>
      </c>
      <c r="N138" s="75"/>
      <c r="O138" s="75"/>
      <c r="P138" s="75"/>
      <c r="Q138" s="77">
        <f>$Q$30/2</f>
        <v>11</v>
      </c>
      <c r="R138" s="77"/>
      <c r="S138" s="77"/>
      <c r="T138" s="77"/>
      <c r="U138" s="79" t="s">
        <v>56</v>
      </c>
      <c r="V138" s="79"/>
      <c r="W138" s="79"/>
      <c r="X138" s="79"/>
      <c r="Y138" s="77">
        <f t="shared" si="0"/>
        <v>4.09396207916277</v>
      </c>
      <c r="Z138" s="77"/>
      <c r="AA138" s="77"/>
      <c r="AB138" s="77"/>
      <c r="AC138" s="21"/>
      <c r="AD138" s="21"/>
      <c r="AF138" s="15"/>
      <c r="AG138" s="15"/>
      <c r="AP138" s="7"/>
    </row>
    <row r="139" spans="1:47" ht="25.15" customHeight="1" x14ac:dyDescent="0.25">
      <c r="E139" s="21"/>
      <c r="S139" s="32"/>
      <c r="T139" s="51"/>
      <c r="U139" s="51"/>
      <c r="V139" s="51"/>
    </row>
    <row r="140" spans="1:47" ht="16.149999999999999" customHeight="1" x14ac:dyDescent="0.25">
      <c r="A140" s="2" t="s">
        <v>129</v>
      </c>
      <c r="E140" s="21"/>
      <c r="S140" s="32"/>
      <c r="T140" s="51"/>
      <c r="U140" s="51"/>
      <c r="V140" s="51"/>
      <c r="AE140" s="24" t="s">
        <v>196</v>
      </c>
      <c r="AP140" s="7"/>
    </row>
    <row r="141" spans="1:47" ht="16" customHeight="1" x14ac:dyDescent="0.25">
      <c r="E141" s="21"/>
      <c r="S141" s="32"/>
      <c r="T141" s="51"/>
      <c r="U141" s="51"/>
      <c r="V141" s="51"/>
      <c r="AP141" s="7"/>
    </row>
    <row r="142" spans="1:47" ht="16" customHeight="1" x14ac:dyDescent="0.25">
      <c r="A142" s="80" t="s">
        <v>66</v>
      </c>
      <c r="B142" s="81"/>
      <c r="C142" s="81"/>
      <c r="D142" s="81"/>
      <c r="E142" s="81"/>
      <c r="F142" s="81"/>
      <c r="G142" s="82"/>
      <c r="H142" s="83" t="s">
        <v>371</v>
      </c>
      <c r="I142" s="84"/>
      <c r="J142" s="84"/>
      <c r="K142" s="85" t="s">
        <v>372</v>
      </c>
      <c r="L142" s="84"/>
      <c r="M142" s="86"/>
      <c r="N142" s="83" t="s">
        <v>373</v>
      </c>
      <c r="O142" s="84"/>
      <c r="P142" s="84"/>
      <c r="Q142" s="87" t="s">
        <v>3</v>
      </c>
      <c r="R142" s="88"/>
      <c r="S142" s="88"/>
      <c r="T142" s="88"/>
      <c r="U142" s="88"/>
      <c r="V142" s="89"/>
      <c r="AP142" s="7"/>
    </row>
    <row r="143" spans="1:47" ht="16" customHeight="1" x14ac:dyDescent="0.25">
      <c r="A143" s="90" t="s">
        <v>67</v>
      </c>
      <c r="B143" s="91"/>
      <c r="C143" s="91"/>
      <c r="D143" s="91"/>
      <c r="E143" s="91"/>
      <c r="F143" s="91"/>
      <c r="G143" s="91"/>
      <c r="H143" s="92">
        <v>1.25</v>
      </c>
      <c r="I143" s="93"/>
      <c r="J143" s="94"/>
      <c r="K143" s="93">
        <v>1.6</v>
      </c>
      <c r="L143" s="93"/>
      <c r="M143" s="93"/>
      <c r="N143" s="92" t="s">
        <v>14</v>
      </c>
      <c r="O143" s="93"/>
      <c r="P143" s="94"/>
      <c r="Q143" s="93" t="s">
        <v>68</v>
      </c>
      <c r="R143" s="93"/>
      <c r="S143" s="93"/>
      <c r="T143" s="93"/>
      <c r="U143" s="93"/>
      <c r="V143" s="94"/>
      <c r="AP143" s="7"/>
    </row>
    <row r="144" spans="1:47" ht="16" customHeight="1" x14ac:dyDescent="0.25">
      <c r="A144" s="95" t="s">
        <v>73</v>
      </c>
      <c r="B144" s="96"/>
      <c r="C144" s="96"/>
      <c r="D144" s="96"/>
      <c r="E144" s="96"/>
      <c r="F144" s="96"/>
      <c r="G144" s="96"/>
      <c r="H144" s="97">
        <v>1.1000000000000001</v>
      </c>
      <c r="I144" s="98"/>
      <c r="J144" s="99"/>
      <c r="K144" s="98" t="s">
        <v>14</v>
      </c>
      <c r="L144" s="98"/>
      <c r="M144" s="98"/>
      <c r="N144" s="97">
        <v>1</v>
      </c>
      <c r="O144" s="98"/>
      <c r="P144" s="99"/>
      <c r="Q144" s="98" t="s">
        <v>71</v>
      </c>
      <c r="R144" s="98"/>
      <c r="S144" s="98"/>
      <c r="T144" s="98"/>
      <c r="U144" s="98"/>
      <c r="V144" s="99"/>
      <c r="AP144" s="7"/>
    </row>
    <row r="145" spans="1:44" ht="16" customHeight="1" x14ac:dyDescent="0.25">
      <c r="A145" s="95" t="s">
        <v>74</v>
      </c>
      <c r="B145" s="96"/>
      <c r="C145" s="96"/>
      <c r="D145" s="96"/>
      <c r="E145" s="96"/>
      <c r="F145" s="96"/>
      <c r="G145" s="96"/>
      <c r="H145" s="97">
        <v>0.9</v>
      </c>
      <c r="I145" s="98"/>
      <c r="J145" s="99"/>
      <c r="K145" s="98" t="s">
        <v>14</v>
      </c>
      <c r="L145" s="98"/>
      <c r="M145" s="98"/>
      <c r="N145" s="97">
        <v>1</v>
      </c>
      <c r="O145" s="98"/>
      <c r="P145" s="99"/>
      <c r="Q145" s="98" t="s">
        <v>72</v>
      </c>
      <c r="R145" s="98"/>
      <c r="S145" s="98"/>
      <c r="T145" s="98"/>
      <c r="U145" s="98"/>
      <c r="V145" s="99"/>
      <c r="AP145" s="7"/>
    </row>
    <row r="146" spans="1:44" ht="16" customHeight="1" x14ac:dyDescent="0.25">
      <c r="A146" s="100" t="s">
        <v>4</v>
      </c>
      <c r="B146" s="101"/>
      <c r="C146" s="101"/>
      <c r="D146" s="101"/>
      <c r="E146" s="101"/>
      <c r="F146" s="101"/>
      <c r="G146" s="101"/>
      <c r="H146" s="102">
        <v>1</v>
      </c>
      <c r="I146" s="103"/>
      <c r="J146" s="104"/>
      <c r="K146" s="103" t="s">
        <v>14</v>
      </c>
      <c r="L146" s="103"/>
      <c r="M146" s="103"/>
      <c r="N146" s="102">
        <v>1</v>
      </c>
      <c r="O146" s="103"/>
      <c r="P146" s="104"/>
      <c r="Q146" s="103" t="s">
        <v>69</v>
      </c>
      <c r="R146" s="103"/>
      <c r="S146" s="103"/>
      <c r="T146" s="103"/>
      <c r="U146" s="103"/>
      <c r="V146" s="104"/>
    </row>
    <row r="147" spans="1:44" ht="16" customHeight="1" x14ac:dyDescent="0.25">
      <c r="E147" s="21"/>
      <c r="S147" s="32"/>
      <c r="T147" s="51"/>
      <c r="U147" s="51"/>
      <c r="V147" s="51"/>
      <c r="AH147" s="15"/>
      <c r="AI147" s="15"/>
      <c r="AJ147" s="15"/>
      <c r="AP147" s="7"/>
      <c r="AR147" s="11"/>
    </row>
    <row r="148" spans="1:44" ht="16" customHeight="1" x14ac:dyDescent="0.25">
      <c r="A148" s="2" t="s">
        <v>178</v>
      </c>
      <c r="E148" s="21"/>
      <c r="S148" s="32"/>
      <c r="T148" s="51"/>
      <c r="U148" s="51"/>
      <c r="V148" s="51"/>
      <c r="AH148" s="15"/>
      <c r="AI148" s="15"/>
      <c r="AJ148" s="15"/>
      <c r="AP148" s="7"/>
      <c r="AR148" s="11"/>
    </row>
    <row r="149" spans="1:44" ht="16" customHeight="1" x14ac:dyDescent="0.25">
      <c r="A149" s="7" t="s">
        <v>195</v>
      </c>
      <c r="E149" s="21"/>
      <c r="S149" s="32"/>
      <c r="T149" s="51"/>
      <c r="U149" s="51"/>
      <c r="V149" s="51"/>
      <c r="AH149" s="15"/>
      <c r="AI149" s="15"/>
      <c r="AJ149" s="15"/>
      <c r="AP149" s="7"/>
      <c r="AR149" s="11"/>
    </row>
    <row r="150" spans="1:44" ht="16" customHeight="1" x14ac:dyDescent="0.25">
      <c r="E150" s="21"/>
      <c r="S150" s="32"/>
      <c r="T150" s="51"/>
      <c r="U150" s="51"/>
      <c r="V150" s="51"/>
      <c r="AH150" s="15"/>
      <c r="AI150" s="15"/>
      <c r="AJ150" s="15"/>
      <c r="AP150" s="7"/>
      <c r="AR150" s="11"/>
    </row>
    <row r="151" spans="1:44" ht="16" customHeight="1" x14ac:dyDescent="0.25">
      <c r="A151" s="77" t="s">
        <v>66</v>
      </c>
      <c r="B151" s="77"/>
      <c r="C151" s="77"/>
      <c r="D151" s="77"/>
      <c r="E151" s="77"/>
      <c r="F151" s="105" t="s">
        <v>70</v>
      </c>
      <c r="G151" s="106"/>
      <c r="H151" s="76" t="s">
        <v>252</v>
      </c>
      <c r="I151" s="76"/>
      <c r="J151" s="76"/>
      <c r="K151" s="76"/>
      <c r="L151" s="76"/>
      <c r="M151" s="76" t="s">
        <v>264</v>
      </c>
      <c r="N151" s="76"/>
      <c r="O151" s="76"/>
      <c r="P151" s="76"/>
      <c r="Q151" s="76"/>
      <c r="R151" s="76" t="s">
        <v>265</v>
      </c>
      <c r="S151" s="76"/>
      <c r="T151" s="76"/>
      <c r="U151" s="76"/>
      <c r="V151" s="76"/>
      <c r="W151" s="107" t="s">
        <v>95</v>
      </c>
      <c r="X151" s="108"/>
      <c r="Y151" s="108"/>
      <c r="Z151" s="109"/>
      <c r="AA151" s="76" t="s">
        <v>266</v>
      </c>
      <c r="AB151" s="76"/>
      <c r="AC151" s="76"/>
      <c r="AD151" s="76"/>
      <c r="AE151" s="76"/>
      <c r="AF151" s="15"/>
      <c r="AG151" s="15"/>
      <c r="AH151" s="15"/>
      <c r="AI151" s="15"/>
      <c r="AJ151" s="15"/>
      <c r="AP151" s="7"/>
      <c r="AR151" s="11"/>
    </row>
    <row r="152" spans="1:44" ht="16" customHeight="1" x14ac:dyDescent="0.25">
      <c r="A152" s="77"/>
      <c r="B152" s="77"/>
      <c r="C152" s="77"/>
      <c r="D152" s="77"/>
      <c r="E152" s="77"/>
      <c r="F152" s="110"/>
      <c r="G152" s="111"/>
      <c r="H152" s="76"/>
      <c r="I152" s="76"/>
      <c r="J152" s="76"/>
      <c r="K152" s="76"/>
      <c r="L152" s="76"/>
      <c r="M152" s="76"/>
      <c r="N152" s="76"/>
      <c r="O152" s="76"/>
      <c r="P152" s="76"/>
      <c r="Q152" s="76"/>
      <c r="R152" s="76"/>
      <c r="S152" s="76"/>
      <c r="T152" s="76"/>
      <c r="U152" s="76"/>
      <c r="V152" s="76"/>
      <c r="W152" s="112"/>
      <c r="X152" s="113"/>
      <c r="Y152" s="113"/>
      <c r="Z152" s="114"/>
      <c r="AA152" s="76"/>
      <c r="AB152" s="76"/>
      <c r="AC152" s="76"/>
      <c r="AD152" s="76"/>
      <c r="AE152" s="76"/>
      <c r="AF152" s="15"/>
      <c r="AG152" s="15"/>
      <c r="AH152" s="15"/>
      <c r="AI152" s="15"/>
      <c r="AJ152" s="15"/>
      <c r="AP152" s="7"/>
      <c r="AR152" s="11"/>
    </row>
    <row r="153" spans="1:44" ht="16" customHeight="1" x14ac:dyDescent="0.25">
      <c r="A153" s="75" t="s">
        <v>67</v>
      </c>
      <c r="B153" s="75"/>
      <c r="C153" s="75"/>
      <c r="D153" s="75"/>
      <c r="E153" s="75"/>
      <c r="F153" s="58">
        <f>(SUM($M$129:$P$132)*H143)+($M$133*K143)</f>
        <v>1.3666675292343697</v>
      </c>
      <c r="G153" s="56"/>
      <c r="H153" s="79" t="s">
        <v>14</v>
      </c>
      <c r="I153" s="79"/>
      <c r="J153" s="79"/>
      <c r="K153" s="79"/>
      <c r="L153" s="79"/>
      <c r="M153" s="79" t="s">
        <v>14</v>
      </c>
      <c r="N153" s="79"/>
      <c r="O153" s="79"/>
      <c r="P153" s="79"/>
      <c r="Q153" s="79"/>
      <c r="R153" s="75">
        <f>H143*SUM($Y$129:$AB$132)+K143*$Y$133</f>
        <v>4.5289054245094666</v>
      </c>
      <c r="S153" s="75"/>
      <c r="T153" s="75"/>
      <c r="U153" s="75"/>
      <c r="V153" s="75"/>
      <c r="W153" s="115" t="s">
        <v>14</v>
      </c>
      <c r="X153" s="116"/>
      <c r="Y153" s="116"/>
      <c r="Z153" s="117"/>
      <c r="AA153" s="75" t="s">
        <v>14</v>
      </c>
      <c r="AB153" s="75"/>
      <c r="AC153" s="75"/>
      <c r="AD153" s="75"/>
      <c r="AE153" s="75"/>
      <c r="AF153" s="15"/>
      <c r="AG153" s="15"/>
      <c r="AH153" s="15"/>
    </row>
    <row r="154" spans="1:44" ht="16" customHeight="1" x14ac:dyDescent="0.25">
      <c r="A154" s="75" t="s">
        <v>73</v>
      </c>
      <c r="B154" s="75"/>
      <c r="C154" s="75"/>
      <c r="D154" s="75"/>
      <c r="E154" s="75"/>
      <c r="F154" s="58">
        <f>(SUM($M$129:$P$132)*H144)</f>
        <v>1.2026674257262455</v>
      </c>
      <c r="G154" s="56"/>
      <c r="H154" s="79">
        <f>N144*SUM($Y$135,$Y$138)</f>
        <v>45.046391606929525</v>
      </c>
      <c r="I154" s="79"/>
      <c r="J154" s="79"/>
      <c r="K154" s="79"/>
      <c r="L154" s="79"/>
      <c r="M154" s="79">
        <f>N144*SUM($Y$136:$AB$137)</f>
        <v>20.923191320283117</v>
      </c>
      <c r="N154" s="79"/>
      <c r="O154" s="79"/>
      <c r="P154" s="79"/>
      <c r="Q154" s="79"/>
      <c r="R154" s="75">
        <f>H144*SUM($Y$129:$AB$132)+N144*$Y$134</f>
        <v>6.4909947343546364</v>
      </c>
      <c r="S154" s="75"/>
      <c r="T154" s="75"/>
      <c r="U154" s="75"/>
      <c r="V154" s="75"/>
      <c r="W154" s="115">
        <f>N144*$M$134</f>
        <v>0.37217837083297911</v>
      </c>
      <c r="X154" s="116"/>
      <c r="Y154" s="116"/>
      <c r="Z154" s="117"/>
      <c r="AA154" s="75">
        <f>N144*($M$135+$M$138)</f>
        <v>2.369857859992333</v>
      </c>
      <c r="AB154" s="75"/>
      <c r="AC154" s="75"/>
      <c r="AD154" s="75"/>
      <c r="AE154" s="75"/>
      <c r="AF154" s="15"/>
      <c r="AG154" s="15"/>
    </row>
    <row r="155" spans="1:44" ht="16" customHeight="1" x14ac:dyDescent="0.25">
      <c r="A155" s="75" t="s">
        <v>74</v>
      </c>
      <c r="B155" s="75"/>
      <c r="C155" s="75"/>
      <c r="D155" s="75"/>
      <c r="E155" s="75"/>
      <c r="F155" s="58">
        <f>(SUM($M$129:$P$132)*H145)</f>
        <v>0.98400062104874619</v>
      </c>
      <c r="G155" s="56"/>
      <c r="H155" s="79">
        <f t="shared" ref="H155:H156" si="3">N145*SUM($Y$135,$Y$138)</f>
        <v>45.046391606929525</v>
      </c>
      <c r="I155" s="79"/>
      <c r="J155" s="79"/>
      <c r="K155" s="79"/>
      <c r="L155" s="79"/>
      <c r="M155" s="79">
        <f t="shared" ref="M155:M156" si="4">N145*SUM($Y$136:$AB$137)</f>
        <v>20.923191320283117</v>
      </c>
      <c r="N155" s="79"/>
      <c r="O155" s="79"/>
      <c r="P155" s="79"/>
      <c r="Q155" s="79"/>
      <c r="R155" s="75">
        <f>H145*SUM($Y$129:$AB$132)+N145*$Y$134</f>
        <v>5.7663698664331218</v>
      </c>
      <c r="S155" s="75"/>
      <c r="T155" s="75"/>
      <c r="U155" s="75"/>
      <c r="V155" s="75"/>
      <c r="W155" s="115">
        <f>N145*$M$134</f>
        <v>0.37217837083297911</v>
      </c>
      <c r="X155" s="116"/>
      <c r="Y155" s="116"/>
      <c r="Z155" s="117"/>
      <c r="AA155" s="75">
        <f>N145*($M$135+$M$138)</f>
        <v>2.369857859992333</v>
      </c>
      <c r="AB155" s="75"/>
      <c r="AC155" s="75"/>
      <c r="AD155" s="75"/>
      <c r="AE155" s="75"/>
      <c r="AF155" s="15"/>
      <c r="AG155" s="15"/>
      <c r="AH155" s="15"/>
    </row>
    <row r="156" spans="1:44" ht="16" customHeight="1" x14ac:dyDescent="0.25">
      <c r="A156" s="75" t="s">
        <v>4</v>
      </c>
      <c r="B156" s="75"/>
      <c r="C156" s="75"/>
      <c r="D156" s="75"/>
      <c r="E156" s="75"/>
      <c r="F156" s="58">
        <f>(SUM($M$129:$P$132)*H146)</f>
        <v>1.0933340233874957</v>
      </c>
      <c r="G156" s="56"/>
      <c r="H156" s="79">
        <f t="shared" si="3"/>
        <v>45.046391606929525</v>
      </c>
      <c r="I156" s="79"/>
      <c r="J156" s="79"/>
      <c r="K156" s="79"/>
      <c r="L156" s="79"/>
      <c r="M156" s="79">
        <f t="shared" si="4"/>
        <v>20.923191320283117</v>
      </c>
      <c r="N156" s="79"/>
      <c r="O156" s="79"/>
      <c r="P156" s="79"/>
      <c r="Q156" s="79"/>
      <c r="R156" s="75">
        <f>H146*SUM($Y$129:$AB$132)+N146*$Y$134</f>
        <v>6.1286823003938791</v>
      </c>
      <c r="S156" s="75"/>
      <c r="T156" s="75"/>
      <c r="U156" s="75"/>
      <c r="V156" s="75"/>
      <c r="W156" s="115">
        <f>N146*$M$134</f>
        <v>0.37217837083297911</v>
      </c>
      <c r="X156" s="116"/>
      <c r="Y156" s="116"/>
      <c r="Z156" s="117"/>
      <c r="AA156" s="75">
        <f>N146*($M$135+$M$138)</f>
        <v>2.369857859992333</v>
      </c>
      <c r="AB156" s="75"/>
      <c r="AC156" s="75"/>
      <c r="AD156" s="75"/>
      <c r="AE156" s="75"/>
      <c r="AF156" s="15"/>
      <c r="AG156" s="15"/>
      <c r="AH156" s="15"/>
    </row>
    <row r="157" spans="1:44" ht="16" customHeight="1" x14ac:dyDescent="0.25">
      <c r="A157" s="7" t="s">
        <v>374</v>
      </c>
      <c r="J157" s="21"/>
      <c r="K157" s="21"/>
      <c r="L157" s="21"/>
      <c r="M157" s="21"/>
      <c r="N157" s="21"/>
      <c r="T157" s="15"/>
      <c r="U157" s="15"/>
      <c r="V157" s="15"/>
      <c r="W157" s="15"/>
      <c r="X157" s="15"/>
      <c r="Y157" s="21"/>
      <c r="Z157" s="21"/>
      <c r="AA157" s="21"/>
      <c r="AB157" s="21"/>
      <c r="AC157" s="21"/>
      <c r="AD157" s="15"/>
      <c r="AE157" s="15"/>
      <c r="AF157" s="15"/>
      <c r="AG157" s="15"/>
    </row>
    <row r="158" spans="1:44" ht="16" customHeight="1" x14ac:dyDescent="0.25">
      <c r="J158" s="21"/>
      <c r="K158" s="21"/>
      <c r="L158" s="21"/>
      <c r="M158" s="21"/>
      <c r="N158" s="21"/>
      <c r="T158" s="15"/>
      <c r="U158" s="15"/>
      <c r="V158" s="15"/>
      <c r="W158" s="15"/>
      <c r="X158" s="15"/>
      <c r="Y158" s="21"/>
      <c r="Z158" s="21"/>
      <c r="AA158" s="21"/>
      <c r="AB158" s="21"/>
      <c r="AC158" s="21"/>
      <c r="AD158" s="15"/>
      <c r="AE158" s="15"/>
      <c r="AF158" s="15"/>
      <c r="AG158" s="15"/>
    </row>
    <row r="159" spans="1:44" ht="16" customHeight="1" x14ac:dyDescent="0.25">
      <c r="A159" s="4" t="s">
        <v>179</v>
      </c>
    </row>
    <row r="160" spans="1:44" ht="16" customHeight="1" x14ac:dyDescent="0.25">
      <c r="A160" s="118" t="s">
        <v>75</v>
      </c>
      <c r="E160" s="15"/>
      <c r="F160" s="15"/>
      <c r="G160" s="15"/>
      <c r="H160" s="15"/>
      <c r="I160" s="15"/>
      <c r="J160" s="21"/>
      <c r="K160" s="21"/>
      <c r="L160" s="21"/>
      <c r="M160" s="21"/>
      <c r="N160" s="21"/>
      <c r="T160" s="15"/>
      <c r="U160" s="15"/>
      <c r="V160" s="15"/>
      <c r="W160" s="15"/>
      <c r="X160" s="15"/>
      <c r="Y160" s="21"/>
      <c r="Z160" s="21"/>
      <c r="AA160" s="21"/>
      <c r="AB160" s="21"/>
      <c r="AC160" s="21"/>
      <c r="AD160" s="15"/>
      <c r="AE160" s="15"/>
      <c r="AF160" s="15"/>
      <c r="AG160" s="15"/>
    </row>
    <row r="161" spans="1:42" ht="16" customHeight="1" x14ac:dyDescent="0.25">
      <c r="J161" s="21"/>
      <c r="K161" s="21"/>
      <c r="L161" s="21"/>
      <c r="M161" s="21"/>
      <c r="N161" s="21"/>
      <c r="T161" s="15"/>
      <c r="U161" s="15"/>
      <c r="V161" s="15"/>
      <c r="W161" s="15"/>
      <c r="X161" s="15"/>
      <c r="Y161" s="21"/>
      <c r="Z161" s="21"/>
      <c r="AA161" s="21"/>
      <c r="AB161" s="21"/>
      <c r="AC161" s="21"/>
      <c r="AD161" s="15"/>
      <c r="AE161" s="15"/>
      <c r="AF161" s="15"/>
      <c r="AG161" s="15"/>
      <c r="AM161" s="1"/>
    </row>
    <row r="162" spans="1:42" ht="16" customHeight="1" x14ac:dyDescent="0.25">
      <c r="A162" s="2" t="s">
        <v>130</v>
      </c>
      <c r="AP162" s="7"/>
    </row>
    <row r="163" spans="1:42" ht="16" customHeight="1" x14ac:dyDescent="0.25">
      <c r="AP163" s="7"/>
    </row>
    <row r="164" spans="1:42" ht="16" customHeight="1" x14ac:dyDescent="0.25">
      <c r="A164" s="13" t="s">
        <v>76</v>
      </c>
      <c r="AP164" s="7"/>
    </row>
    <row r="165" spans="1:42" ht="16" customHeight="1" x14ac:dyDescent="0.25">
      <c r="A165" s="66" t="s">
        <v>77</v>
      </c>
      <c r="O165" s="24"/>
      <c r="P165" s="34"/>
      <c r="Q165" s="34"/>
      <c r="R165" s="34"/>
      <c r="AP165" s="7"/>
    </row>
    <row r="166" spans="1:42" ht="16" customHeight="1" x14ac:dyDescent="0.25">
      <c r="A166" s="7" t="s">
        <v>78</v>
      </c>
      <c r="P166" s="24" t="s">
        <v>375</v>
      </c>
      <c r="Q166" s="30">
        <v>5297</v>
      </c>
      <c r="R166" s="30"/>
      <c r="S166" s="30"/>
      <c r="AP166" s="7"/>
    </row>
    <row r="167" spans="1:42" ht="16" customHeight="1" x14ac:dyDescent="0.25">
      <c r="A167" s="7" t="s">
        <v>80</v>
      </c>
      <c r="P167" s="24" t="s">
        <v>376</v>
      </c>
      <c r="Q167" s="30">
        <v>5270</v>
      </c>
      <c r="R167" s="30"/>
      <c r="S167" s="30"/>
      <c r="AP167" s="7"/>
    </row>
    <row r="168" spans="1:42" ht="16" customHeight="1" x14ac:dyDescent="0.25">
      <c r="A168" s="7" t="s">
        <v>180</v>
      </c>
      <c r="P168" s="24" t="s">
        <v>377</v>
      </c>
      <c r="Q168" s="30">
        <v>5297.5</v>
      </c>
      <c r="R168" s="30"/>
      <c r="S168" s="30"/>
      <c r="AP168" s="7"/>
    </row>
    <row r="169" spans="1:42" ht="16" customHeight="1" x14ac:dyDescent="0.25">
      <c r="A169" s="7" t="s">
        <v>181</v>
      </c>
      <c r="P169" s="24" t="s">
        <v>378</v>
      </c>
      <c r="Q169" s="119">
        <f>Q168-13</f>
        <v>5284.5</v>
      </c>
      <c r="R169" s="119"/>
      <c r="S169" s="119"/>
      <c r="AP169" s="7"/>
    </row>
    <row r="170" spans="1:42" ht="16" customHeight="1" x14ac:dyDescent="0.25">
      <c r="AP170" s="7"/>
    </row>
    <row r="171" spans="1:42" ht="16" customHeight="1" x14ac:dyDescent="0.25">
      <c r="A171" s="77" t="s">
        <v>172</v>
      </c>
      <c r="B171" s="77"/>
      <c r="C171" s="77"/>
      <c r="D171" s="75" t="s">
        <v>79</v>
      </c>
      <c r="E171" s="75"/>
      <c r="F171" s="75"/>
      <c r="G171" s="75"/>
      <c r="H171" s="75"/>
      <c r="I171" s="75"/>
      <c r="J171" s="75"/>
      <c r="K171" s="75"/>
      <c r="L171" s="75"/>
      <c r="M171" s="75"/>
      <c r="N171" s="76" t="s">
        <v>82</v>
      </c>
      <c r="O171" s="76"/>
      <c r="P171" s="76"/>
      <c r="Q171" s="76"/>
      <c r="R171" s="76" t="s">
        <v>83</v>
      </c>
      <c r="S171" s="76"/>
      <c r="T171" s="76"/>
      <c r="U171" s="76"/>
      <c r="V171" s="76" t="s">
        <v>84</v>
      </c>
      <c r="W171" s="76"/>
      <c r="X171" s="76"/>
      <c r="Y171" s="76"/>
      <c r="Z171" s="76" t="s">
        <v>379</v>
      </c>
      <c r="AA171" s="76"/>
      <c r="AB171" s="76"/>
      <c r="AC171" s="120" t="s">
        <v>85</v>
      </c>
      <c r="AD171" s="120"/>
      <c r="AE171" s="120"/>
      <c r="AF171" s="78"/>
      <c r="AG171" s="78"/>
      <c r="AP171" s="7"/>
    </row>
    <row r="172" spans="1:42" ht="23.5" customHeight="1" x14ac:dyDescent="0.25">
      <c r="A172" s="77"/>
      <c r="B172" s="77"/>
      <c r="C172" s="77"/>
      <c r="D172" s="75"/>
      <c r="E172" s="75"/>
      <c r="F172" s="75"/>
      <c r="G172" s="75"/>
      <c r="H172" s="75"/>
      <c r="I172" s="75"/>
      <c r="J172" s="75"/>
      <c r="K172" s="75"/>
      <c r="L172" s="75"/>
      <c r="M172" s="75"/>
      <c r="N172" s="76"/>
      <c r="O172" s="76"/>
      <c r="P172" s="76"/>
      <c r="Q172" s="76"/>
      <c r="R172" s="76"/>
      <c r="S172" s="76"/>
      <c r="T172" s="76"/>
      <c r="U172" s="76"/>
      <c r="V172" s="76"/>
      <c r="W172" s="76"/>
      <c r="X172" s="76"/>
      <c r="Y172" s="76"/>
      <c r="Z172" s="76"/>
      <c r="AA172" s="76"/>
      <c r="AB172" s="76"/>
      <c r="AC172" s="120"/>
      <c r="AD172" s="120"/>
      <c r="AE172" s="120"/>
      <c r="AF172" s="78"/>
      <c r="AG172" s="78"/>
      <c r="AP172" s="7"/>
    </row>
    <row r="173" spans="1:42" ht="16" customHeight="1" x14ac:dyDescent="0.25">
      <c r="A173" s="121">
        <v>5297</v>
      </c>
      <c r="B173" s="121"/>
      <c r="C173" s="121"/>
      <c r="D173" s="121" t="s">
        <v>81</v>
      </c>
      <c r="E173" s="121"/>
      <c r="F173" s="121"/>
      <c r="G173" s="121"/>
      <c r="H173" s="121"/>
      <c r="I173" s="121"/>
      <c r="J173" s="121"/>
      <c r="K173" s="121"/>
      <c r="L173" s="121"/>
      <c r="M173" s="121"/>
      <c r="N173" s="121">
        <v>120</v>
      </c>
      <c r="O173" s="121"/>
      <c r="P173" s="121"/>
      <c r="Q173" s="121"/>
      <c r="R173" s="121">
        <f>M162*SUM($Y$129:$AI$132)+P162*$Y$133</f>
        <v>0</v>
      </c>
      <c r="S173" s="121"/>
      <c r="T173" s="121"/>
      <c r="U173" s="121"/>
      <c r="V173" s="121">
        <v>2000</v>
      </c>
      <c r="W173" s="121"/>
      <c r="X173" s="121"/>
      <c r="Y173" s="121"/>
      <c r="Z173" s="122">
        <v>6.0000000000000001E-3</v>
      </c>
      <c r="AA173" s="122"/>
      <c r="AB173" s="122"/>
      <c r="AC173" s="121">
        <v>500</v>
      </c>
      <c r="AD173" s="121"/>
      <c r="AE173" s="121"/>
      <c r="AF173" s="123"/>
      <c r="AG173" s="123"/>
    </row>
    <row r="174" spans="1:42" ht="16" customHeight="1" x14ac:dyDescent="0.25">
      <c r="A174" s="121">
        <v>5290</v>
      </c>
      <c r="B174" s="121"/>
      <c r="C174" s="121"/>
      <c r="D174" s="121" t="s">
        <v>81</v>
      </c>
      <c r="E174" s="121"/>
      <c r="F174" s="121"/>
      <c r="G174" s="121"/>
      <c r="H174" s="121"/>
      <c r="I174" s="121"/>
      <c r="J174" s="121"/>
      <c r="K174" s="121"/>
      <c r="L174" s="121"/>
      <c r="M174" s="121"/>
      <c r="N174" s="121">
        <v>130</v>
      </c>
      <c r="O174" s="121"/>
      <c r="P174" s="121"/>
      <c r="Q174" s="121"/>
      <c r="R174" s="121">
        <f>M163*SUM($Y$129:$AI$132)+S163*$Y$134</f>
        <v>0</v>
      </c>
      <c r="S174" s="121"/>
      <c r="T174" s="121"/>
      <c r="U174" s="121"/>
      <c r="V174" s="121">
        <v>2500</v>
      </c>
      <c r="W174" s="121"/>
      <c r="X174" s="121"/>
      <c r="Y174" s="121"/>
      <c r="Z174" s="122">
        <v>5.0000000000000001E-3</v>
      </c>
      <c r="AA174" s="122"/>
      <c r="AB174" s="122"/>
      <c r="AC174" s="121">
        <v>1000</v>
      </c>
      <c r="AD174" s="121"/>
      <c r="AE174" s="121"/>
      <c r="AF174" s="123"/>
      <c r="AG174" s="123"/>
    </row>
    <row r="176" spans="1:42" ht="16" customHeight="1" x14ac:dyDescent="0.25">
      <c r="A176" s="13" t="s">
        <v>182</v>
      </c>
    </row>
    <row r="177" spans="1:42" ht="7" customHeight="1" x14ac:dyDescent="0.25"/>
    <row r="178" spans="1:42" ht="16" customHeight="1" x14ac:dyDescent="0.25">
      <c r="A178" s="118" t="s">
        <v>86</v>
      </c>
      <c r="P178" s="30" t="s">
        <v>89</v>
      </c>
      <c r="Q178" s="30"/>
      <c r="R178" s="30"/>
      <c r="S178" s="30"/>
      <c r="T178" s="30"/>
      <c r="U178" s="30"/>
      <c r="V178" s="30"/>
      <c r="W178" s="30"/>
      <c r="X178" s="30"/>
    </row>
    <row r="179" spans="1:42" ht="16" customHeight="1" x14ac:dyDescent="0.25">
      <c r="A179" s="118" t="s">
        <v>87</v>
      </c>
      <c r="P179" s="24" t="s">
        <v>321</v>
      </c>
      <c r="Q179" s="68">
        <f>Q39</f>
        <v>13</v>
      </c>
      <c r="R179" s="68"/>
      <c r="S179" s="68"/>
      <c r="T179" s="7" t="s">
        <v>247</v>
      </c>
    </row>
    <row r="180" spans="1:42" ht="16" customHeight="1" x14ac:dyDescent="0.25">
      <c r="A180" s="118" t="s">
        <v>127</v>
      </c>
      <c r="P180" s="24" t="s">
        <v>380</v>
      </c>
      <c r="Q180" s="124">
        <f>A174-Q169</f>
        <v>5.5</v>
      </c>
      <c r="R180" s="124"/>
      <c r="S180" s="124"/>
      <c r="T180" s="7" t="s">
        <v>247</v>
      </c>
    </row>
    <row r="181" spans="1:42" ht="16" customHeight="1" x14ac:dyDescent="0.25">
      <c r="A181" s="118" t="s">
        <v>88</v>
      </c>
      <c r="P181" s="24" t="s">
        <v>322</v>
      </c>
      <c r="Q181" s="125">
        <f>Q40</f>
        <v>36</v>
      </c>
      <c r="R181" s="125"/>
      <c r="S181" s="125"/>
      <c r="T181" s="7" t="s">
        <v>248</v>
      </c>
    </row>
    <row r="182" spans="1:42" ht="16" customHeight="1" x14ac:dyDescent="0.25">
      <c r="A182" s="118" t="s">
        <v>238</v>
      </c>
      <c r="P182" s="24" t="s">
        <v>90</v>
      </c>
      <c r="Q182" s="27">
        <v>8</v>
      </c>
      <c r="R182" s="27"/>
      <c r="S182" s="27"/>
    </row>
    <row r="183" spans="1:42" ht="16" customHeight="1" x14ac:dyDescent="0.25">
      <c r="A183" s="118" t="s">
        <v>239</v>
      </c>
      <c r="Q183" s="27">
        <v>13</v>
      </c>
      <c r="R183" s="27"/>
      <c r="S183" s="27"/>
    </row>
    <row r="184" spans="1:42" ht="16" customHeight="1" x14ac:dyDescent="0.25">
      <c r="A184" s="118" t="s">
        <v>202</v>
      </c>
      <c r="Q184" s="126">
        <v>3.625</v>
      </c>
      <c r="R184" s="126"/>
      <c r="S184" s="126"/>
      <c r="T184" s="7" t="s">
        <v>248</v>
      </c>
      <c r="AE184" s="24" t="s">
        <v>268</v>
      </c>
    </row>
    <row r="185" spans="1:42" ht="16" customHeight="1" x14ac:dyDescent="0.25">
      <c r="A185" s="118" t="s">
        <v>237</v>
      </c>
      <c r="P185" s="24" t="s">
        <v>90</v>
      </c>
      <c r="Q185" s="27">
        <v>5</v>
      </c>
      <c r="R185" s="27"/>
      <c r="S185" s="27"/>
      <c r="AE185" s="24"/>
    </row>
    <row r="186" spans="1:42" ht="16" customHeight="1" x14ac:dyDescent="0.25">
      <c r="A186" s="118" t="s">
        <v>240</v>
      </c>
      <c r="Q186" s="27">
        <v>12</v>
      </c>
      <c r="R186" s="27"/>
      <c r="S186" s="27"/>
      <c r="T186" s="7" t="s">
        <v>248</v>
      </c>
      <c r="AE186" s="24"/>
    </row>
    <row r="187" spans="1:42" ht="8.15" customHeight="1" x14ac:dyDescent="0.25"/>
    <row r="188" spans="1:42" ht="16" customHeight="1" x14ac:dyDescent="0.3">
      <c r="A188" s="5" t="s">
        <v>131</v>
      </c>
    </row>
    <row r="189" spans="1:42" ht="16" customHeight="1" x14ac:dyDescent="0.25">
      <c r="A189" s="118" t="s">
        <v>261</v>
      </c>
      <c r="AO189" s="11"/>
    </row>
    <row r="190" spans="1:42" ht="16" customHeight="1" x14ac:dyDescent="0.25">
      <c r="A190" s="118" t="s">
        <v>162</v>
      </c>
      <c r="AO190" s="11"/>
    </row>
    <row r="191" spans="1:42" ht="16" customHeight="1" x14ac:dyDescent="0.25">
      <c r="A191" s="118" t="s">
        <v>163</v>
      </c>
      <c r="AO191" s="11"/>
      <c r="AP191" s="7"/>
    </row>
    <row r="192" spans="1:42" ht="16" customHeight="1" x14ac:dyDescent="0.25">
      <c r="A192" s="77" t="s">
        <v>91</v>
      </c>
      <c r="B192" s="77"/>
      <c r="C192" s="77"/>
      <c r="D192" s="77"/>
      <c r="E192" s="105" t="s">
        <v>92</v>
      </c>
      <c r="F192" s="106"/>
      <c r="G192" s="106"/>
      <c r="H192" s="106"/>
      <c r="I192" s="106"/>
      <c r="J192" s="127"/>
      <c r="K192" s="76" t="s">
        <v>94</v>
      </c>
      <c r="L192" s="76"/>
      <c r="M192" s="76"/>
      <c r="N192" s="76"/>
      <c r="O192" s="76" t="s">
        <v>215</v>
      </c>
      <c r="P192" s="76"/>
      <c r="Q192" s="76"/>
      <c r="R192" s="76"/>
      <c r="S192" s="76" t="s">
        <v>93</v>
      </c>
      <c r="T192" s="76"/>
      <c r="U192" s="76"/>
      <c r="V192" s="76"/>
      <c r="W192" s="78"/>
      <c r="X192" s="78"/>
      <c r="Y192" s="78"/>
      <c r="Z192" s="78"/>
      <c r="AA192" s="78"/>
      <c r="AO192" s="11"/>
      <c r="AP192" s="7"/>
    </row>
    <row r="193" spans="1:42" ht="16" customHeight="1" x14ac:dyDescent="0.25">
      <c r="A193" s="77"/>
      <c r="B193" s="77"/>
      <c r="C193" s="77"/>
      <c r="D193" s="77"/>
      <c r="E193" s="110"/>
      <c r="F193" s="111"/>
      <c r="G193" s="111"/>
      <c r="H193" s="111"/>
      <c r="I193" s="111"/>
      <c r="J193" s="128"/>
      <c r="K193" s="76"/>
      <c r="L193" s="76"/>
      <c r="M193" s="76"/>
      <c r="N193" s="76"/>
      <c r="O193" s="76"/>
      <c r="P193" s="76"/>
      <c r="Q193" s="76"/>
      <c r="R193" s="76"/>
      <c r="S193" s="76"/>
      <c r="T193" s="76"/>
      <c r="U193" s="76"/>
      <c r="V193" s="76"/>
      <c r="W193" s="78"/>
      <c r="X193" s="78"/>
      <c r="Y193" s="78"/>
      <c r="Z193" s="78"/>
      <c r="AA193" s="78"/>
      <c r="AO193" s="11"/>
      <c r="AP193" s="7"/>
    </row>
    <row r="194" spans="1:42" ht="16" customHeight="1" x14ac:dyDescent="0.25">
      <c r="A194" s="129">
        <v>1</v>
      </c>
      <c r="B194" s="129"/>
      <c r="C194" s="129"/>
      <c r="D194" s="129"/>
      <c r="E194" s="130">
        <v>1</v>
      </c>
      <c r="F194" s="131"/>
      <c r="G194" s="131"/>
      <c r="H194" s="131"/>
      <c r="I194" s="131"/>
      <c r="J194" s="132"/>
      <c r="K194" s="133">
        <f>0</f>
        <v>0</v>
      </c>
      <c r="L194" s="133"/>
      <c r="M194" s="133"/>
      <c r="N194" s="133"/>
      <c r="O194" s="133">
        <f>R153*12000</f>
        <v>54346.8650941136</v>
      </c>
      <c r="P194" s="133"/>
      <c r="Q194" s="133"/>
      <c r="R194" s="133"/>
      <c r="S194" s="133">
        <f>F153*1000</f>
        <v>1366.6675292343698</v>
      </c>
      <c r="T194" s="133"/>
      <c r="U194" s="133"/>
      <c r="V194" s="133"/>
      <c r="W194" s="134"/>
      <c r="X194" s="134"/>
      <c r="Y194" s="134"/>
      <c r="Z194" s="134"/>
      <c r="AA194" s="134"/>
      <c r="AO194" s="11"/>
      <c r="AP194" s="7"/>
    </row>
    <row r="195" spans="1:42" ht="16" customHeight="1" x14ac:dyDescent="0.25">
      <c r="A195" s="129">
        <v>2</v>
      </c>
      <c r="B195" s="129"/>
      <c r="C195" s="129"/>
      <c r="D195" s="129"/>
      <c r="E195" s="130">
        <v>1</v>
      </c>
      <c r="F195" s="131"/>
      <c r="G195" s="131"/>
      <c r="H195" s="131"/>
      <c r="I195" s="131"/>
      <c r="J195" s="132"/>
      <c r="K195" s="133">
        <f>W154*1000</f>
        <v>372.17837083297911</v>
      </c>
      <c r="L195" s="133"/>
      <c r="M195" s="133"/>
      <c r="N195" s="133"/>
      <c r="O195" s="133">
        <f>R154*12000</f>
        <v>77891.936812255633</v>
      </c>
      <c r="P195" s="133"/>
      <c r="Q195" s="133"/>
      <c r="R195" s="133"/>
      <c r="S195" s="133">
        <f>F154*1000</f>
        <v>1202.6674257262455</v>
      </c>
      <c r="T195" s="133"/>
      <c r="U195" s="133"/>
      <c r="V195" s="133"/>
      <c r="W195" s="134"/>
      <c r="X195" s="134"/>
      <c r="Y195" s="134"/>
      <c r="Z195" s="134"/>
      <c r="AA195" s="134"/>
      <c r="AO195" s="11"/>
      <c r="AP195" s="7"/>
    </row>
    <row r="196" spans="1:42" ht="16" customHeight="1" x14ac:dyDescent="0.25">
      <c r="A196" s="129">
        <v>3</v>
      </c>
      <c r="B196" s="129"/>
      <c r="C196" s="129"/>
      <c r="D196" s="129"/>
      <c r="E196" s="130">
        <v>1</v>
      </c>
      <c r="F196" s="131"/>
      <c r="G196" s="131"/>
      <c r="H196" s="131"/>
      <c r="I196" s="131"/>
      <c r="J196" s="132"/>
      <c r="K196" s="133">
        <f>AA154*1000</f>
        <v>2369.857859992333</v>
      </c>
      <c r="L196" s="133"/>
      <c r="M196" s="133"/>
      <c r="N196" s="133"/>
      <c r="O196" s="133">
        <f>H154*12000</f>
        <v>540556.69928315433</v>
      </c>
      <c r="P196" s="133"/>
      <c r="Q196" s="133"/>
      <c r="R196" s="133"/>
      <c r="S196" s="133">
        <f>F154*1000</f>
        <v>1202.6674257262455</v>
      </c>
      <c r="T196" s="133"/>
      <c r="U196" s="133"/>
      <c r="V196" s="133"/>
      <c r="AO196" s="11"/>
      <c r="AP196" s="7"/>
    </row>
    <row r="197" spans="1:42" ht="16" customHeight="1" x14ac:dyDescent="0.25">
      <c r="A197" s="129">
        <v>4</v>
      </c>
      <c r="B197" s="129"/>
      <c r="C197" s="129"/>
      <c r="D197" s="129"/>
      <c r="E197" s="130">
        <v>1</v>
      </c>
      <c r="F197" s="131"/>
      <c r="G197" s="131"/>
      <c r="H197" s="131"/>
      <c r="I197" s="131"/>
      <c r="J197" s="132"/>
      <c r="K197" s="130">
        <f>W155*1000</f>
        <v>372.17837083297911</v>
      </c>
      <c r="L197" s="131"/>
      <c r="M197" s="131"/>
      <c r="N197" s="132"/>
      <c r="O197" s="130">
        <f>R155*12000</f>
        <v>69196.43839719746</v>
      </c>
      <c r="P197" s="131"/>
      <c r="Q197" s="131"/>
      <c r="R197" s="132"/>
      <c r="S197" s="130">
        <f>F155*1000</f>
        <v>984.00062104874621</v>
      </c>
      <c r="T197" s="131"/>
      <c r="U197" s="131"/>
      <c r="V197" s="132"/>
      <c r="AO197" s="11"/>
      <c r="AP197" s="7"/>
    </row>
    <row r="198" spans="1:42" ht="16" customHeight="1" x14ac:dyDescent="0.25">
      <c r="A198" s="129">
        <v>5</v>
      </c>
      <c r="B198" s="129"/>
      <c r="C198" s="129"/>
      <c r="D198" s="129"/>
      <c r="E198" s="130">
        <v>1</v>
      </c>
      <c r="F198" s="131"/>
      <c r="G198" s="131"/>
      <c r="H198" s="131"/>
      <c r="I198" s="131"/>
      <c r="J198" s="132"/>
      <c r="K198" s="133">
        <f>AA155*1000</f>
        <v>2369.857859992333</v>
      </c>
      <c r="L198" s="133"/>
      <c r="M198" s="133"/>
      <c r="N198" s="133"/>
      <c r="O198" s="133">
        <f>H155*12000</f>
        <v>540556.69928315433</v>
      </c>
      <c r="P198" s="133"/>
      <c r="Q198" s="133"/>
      <c r="R198" s="133"/>
      <c r="S198" s="133">
        <f>F155*1000</f>
        <v>984.00062104874621</v>
      </c>
      <c r="T198" s="133"/>
      <c r="U198" s="133"/>
      <c r="V198" s="133"/>
      <c r="AP198" s="7"/>
    </row>
    <row r="199" spans="1:42" ht="16" customHeight="1" x14ac:dyDescent="0.25">
      <c r="A199" s="129">
        <v>6</v>
      </c>
      <c r="B199" s="129"/>
      <c r="C199" s="129"/>
      <c r="D199" s="129"/>
      <c r="E199" s="130">
        <v>1</v>
      </c>
      <c r="F199" s="131"/>
      <c r="G199" s="131"/>
      <c r="H199" s="131"/>
      <c r="I199" s="131"/>
      <c r="J199" s="132"/>
      <c r="K199" s="130">
        <f>W156*1000</f>
        <v>372.17837083297911</v>
      </c>
      <c r="L199" s="131"/>
      <c r="M199" s="131"/>
      <c r="N199" s="132"/>
      <c r="O199" s="130">
        <f>R156*12000</f>
        <v>73544.187604726554</v>
      </c>
      <c r="P199" s="131"/>
      <c r="Q199" s="131"/>
      <c r="R199" s="132"/>
      <c r="S199" s="130">
        <f>F156*1000</f>
        <v>1093.3340233874958</v>
      </c>
      <c r="T199" s="131"/>
      <c r="U199" s="131"/>
      <c r="V199" s="132"/>
      <c r="AL199" s="1"/>
      <c r="AP199" s="7"/>
    </row>
    <row r="200" spans="1:42" ht="16" customHeight="1" x14ac:dyDescent="0.25">
      <c r="A200" s="129">
        <v>7</v>
      </c>
      <c r="B200" s="129"/>
      <c r="C200" s="129"/>
      <c r="D200" s="129"/>
      <c r="E200" s="130">
        <v>1</v>
      </c>
      <c r="F200" s="131"/>
      <c r="G200" s="131"/>
      <c r="H200" s="131"/>
      <c r="I200" s="131"/>
      <c r="J200" s="132"/>
      <c r="K200" s="133">
        <f>AA156*1000</f>
        <v>2369.857859992333</v>
      </c>
      <c r="L200" s="133"/>
      <c r="M200" s="133"/>
      <c r="N200" s="133"/>
      <c r="O200" s="133">
        <f>H156*12000</f>
        <v>540556.69928315433</v>
      </c>
      <c r="P200" s="133"/>
      <c r="Q200" s="133"/>
      <c r="R200" s="133"/>
      <c r="S200" s="133">
        <f>F156*1000</f>
        <v>1093.3340233874958</v>
      </c>
      <c r="T200" s="133"/>
      <c r="U200" s="133"/>
      <c r="V200" s="133"/>
    </row>
    <row r="201" spans="1:42" ht="7" customHeight="1" x14ac:dyDescent="0.25">
      <c r="AP201" s="7"/>
    </row>
    <row r="202" spans="1:42" ht="16" customHeight="1" x14ac:dyDescent="0.25">
      <c r="A202" s="2" t="s">
        <v>132</v>
      </c>
      <c r="AH202" s="24"/>
      <c r="AP202" s="7"/>
    </row>
    <row r="203" spans="1:42" ht="16" customHeight="1" x14ac:dyDescent="0.25">
      <c r="A203" s="7" t="s">
        <v>201</v>
      </c>
      <c r="AP203" s="7"/>
    </row>
    <row r="204" spans="1:42" ht="16" customHeight="1" x14ac:dyDescent="0.25">
      <c r="A204" s="7" t="s">
        <v>96</v>
      </c>
      <c r="Q204" s="69" t="str">
        <f>Q183&amp;" #"&amp;Q182</f>
        <v>13 #8</v>
      </c>
      <c r="R204" s="69"/>
      <c r="S204" s="69"/>
      <c r="AP204" s="7"/>
    </row>
    <row r="205" spans="1:42" ht="16" customHeight="1" x14ac:dyDescent="0.25">
      <c r="A205" s="7" t="s">
        <v>166</v>
      </c>
      <c r="Q205" s="135">
        <v>5.64</v>
      </c>
      <c r="R205" s="135"/>
      <c r="S205" s="135"/>
      <c r="T205" s="7" t="s">
        <v>248</v>
      </c>
      <c r="AP205" s="7"/>
    </row>
    <row r="206" spans="1:42" ht="16" customHeight="1" x14ac:dyDescent="0.25">
      <c r="G206" s="7" t="s">
        <v>165</v>
      </c>
      <c r="Q206" s="69" t="str">
        <f>IF(Q205&gt;MAX(Q207:S208),"&gt;","&lt;")</f>
        <v>&gt;</v>
      </c>
      <c r="R206" s="69"/>
      <c r="S206" s="69"/>
      <c r="AP206" s="7"/>
    </row>
    <row r="207" spans="1:42" ht="16" customHeight="1" x14ac:dyDescent="0.25">
      <c r="A207" s="7" t="s">
        <v>381</v>
      </c>
      <c r="Q207" s="69">
        <f>MAX((1.5*VLOOKUP(Q182,BG5:BH15,2)),1.5*0.75,1.5)</f>
        <v>1.5</v>
      </c>
      <c r="R207" s="69"/>
      <c r="S207" s="69"/>
      <c r="T207" s="7" t="s">
        <v>248</v>
      </c>
      <c r="AE207" s="24" t="s">
        <v>164</v>
      </c>
      <c r="AP207" s="7"/>
    </row>
    <row r="208" spans="1:42" ht="16" customHeight="1" x14ac:dyDescent="0.25">
      <c r="A208" s="7" t="s">
        <v>167</v>
      </c>
      <c r="Q208" s="69">
        <f>MAX(5*0.75,5)</f>
        <v>5</v>
      </c>
      <c r="R208" s="69"/>
      <c r="S208" s="69"/>
      <c r="T208" s="7" t="s">
        <v>248</v>
      </c>
      <c r="AE208" s="24" t="s">
        <v>270</v>
      </c>
      <c r="AP208" s="7"/>
    </row>
    <row r="209" spans="1:35" s="7" customFormat="1" ht="16" customHeight="1" x14ac:dyDescent="0.25">
      <c r="A209" s="7" t="s">
        <v>97</v>
      </c>
      <c r="Q209" s="69">
        <f>VLOOKUP(Q182,$BG$5:$BI$15,3)*Q183</f>
        <v>10.27</v>
      </c>
      <c r="R209" s="69"/>
      <c r="S209" s="69"/>
      <c r="T209" s="7" t="s">
        <v>382</v>
      </c>
    </row>
    <row r="210" spans="1:35" s="7" customFormat="1" ht="16" customHeight="1" x14ac:dyDescent="0.25">
      <c r="A210" s="7" t="s">
        <v>98</v>
      </c>
      <c r="Q210" s="136">
        <f>Q209/(Q307*144)</f>
        <v>1.0089637441689909E-2</v>
      </c>
      <c r="R210" s="136"/>
      <c r="S210" s="136"/>
    </row>
    <row r="211" spans="1:35" s="7" customFormat="1" ht="16" customHeight="1" x14ac:dyDescent="0.25">
      <c r="Q211" s="69" t="str">
        <f>IF(Q210&gt;Q212,"&gt;","&lt;")</f>
        <v>&gt;</v>
      </c>
      <c r="R211" s="69"/>
      <c r="S211" s="69"/>
    </row>
    <row r="212" spans="1:35" s="7" customFormat="1" ht="16" customHeight="1" x14ac:dyDescent="0.25">
      <c r="Q212" s="136">
        <f>0.008</f>
        <v>8.0000000000000002E-3</v>
      </c>
      <c r="R212" s="136"/>
      <c r="S212" s="136"/>
      <c r="AE212" s="24" t="s">
        <v>270</v>
      </c>
    </row>
    <row r="213" spans="1:35" s="7" customFormat="1" ht="16" customHeight="1" x14ac:dyDescent="0.25"/>
    <row r="214" spans="1:35" s="7" customFormat="1" ht="16" customHeight="1" x14ac:dyDescent="0.25">
      <c r="A214" s="7" t="s">
        <v>99</v>
      </c>
      <c r="P214" s="137">
        <v>4.2900000000000004E-3</v>
      </c>
      <c r="Q214" s="137"/>
      <c r="R214" s="137"/>
      <c r="S214" s="137"/>
      <c r="T214" s="7" t="s">
        <v>248</v>
      </c>
    </row>
    <row r="215" spans="1:35" s="7" customFormat="1" ht="16" customHeight="1" x14ac:dyDescent="0.25">
      <c r="A215" s="7" t="s">
        <v>100</v>
      </c>
      <c r="P215" s="138">
        <v>7261</v>
      </c>
      <c r="Q215" s="138"/>
      <c r="R215" s="138"/>
      <c r="S215" s="138"/>
      <c r="T215" s="7" t="s">
        <v>103</v>
      </c>
    </row>
    <row r="216" spans="1:35" s="7" customFormat="1" ht="16" customHeight="1" x14ac:dyDescent="0.25">
      <c r="A216" s="7" t="s">
        <v>101</v>
      </c>
      <c r="P216" s="138">
        <v>567170</v>
      </c>
      <c r="Q216" s="138"/>
      <c r="R216" s="138"/>
      <c r="S216" s="138"/>
      <c r="T216" s="7" t="s">
        <v>104</v>
      </c>
    </row>
    <row r="217" spans="1:35" s="7" customFormat="1" ht="16" customHeight="1" x14ac:dyDescent="0.25">
      <c r="A217" s="7" t="s">
        <v>102</v>
      </c>
      <c r="P217" s="138">
        <v>1203</v>
      </c>
      <c r="Q217" s="138"/>
      <c r="R217" s="138"/>
      <c r="S217" s="138"/>
      <c r="T217" s="7" t="s">
        <v>103</v>
      </c>
    </row>
    <row r="218" spans="1:35" s="7" customFormat="1" ht="16" customHeight="1" x14ac:dyDescent="0.25"/>
    <row r="219" spans="1:35" s="7" customFormat="1" ht="16" customHeight="1" x14ac:dyDescent="0.25">
      <c r="V219" s="139" t="s">
        <v>256</v>
      </c>
      <c r="W219" s="139"/>
      <c r="X219" s="139"/>
      <c r="Y219" s="139"/>
      <c r="Z219" s="139"/>
      <c r="AA219" s="139"/>
      <c r="AB219" s="139"/>
      <c r="AC219" s="139"/>
      <c r="AD219" s="139"/>
      <c r="AE219" s="139"/>
    </row>
    <row r="220" spans="1:35" s="7" customFormat="1" ht="16" customHeight="1" x14ac:dyDescent="0.25">
      <c r="V220" s="139"/>
      <c r="W220" s="139"/>
      <c r="X220" s="139"/>
      <c r="Y220" s="139"/>
      <c r="Z220" s="139"/>
      <c r="AA220" s="139"/>
      <c r="AB220" s="139"/>
      <c r="AC220" s="139"/>
      <c r="AD220" s="139"/>
      <c r="AE220" s="139"/>
      <c r="AF220" s="140"/>
      <c r="AG220" s="140"/>
      <c r="AH220" s="140"/>
      <c r="AI220" s="140"/>
    </row>
    <row r="221" spans="1:35" s="7" customFormat="1" ht="16" customHeight="1" x14ac:dyDescent="0.25">
      <c r="V221" s="14" t="s">
        <v>253</v>
      </c>
      <c r="W221" s="14"/>
      <c r="X221" s="14"/>
      <c r="Y221" s="14"/>
      <c r="Z221" s="14"/>
      <c r="AA221" s="14"/>
      <c r="AB221" s="14"/>
      <c r="AC221" s="14"/>
      <c r="AD221" s="14"/>
      <c r="AE221" s="14"/>
      <c r="AF221" s="140"/>
      <c r="AG221" s="140"/>
      <c r="AH221" s="140"/>
      <c r="AI221" s="140"/>
    </row>
    <row r="222" spans="1:35" s="7" customFormat="1" ht="16" customHeight="1" x14ac:dyDescent="0.25">
      <c r="V222" s="14"/>
      <c r="W222" s="14"/>
      <c r="X222" s="14"/>
      <c r="Y222" s="14"/>
      <c r="Z222" s="14"/>
      <c r="AA222" s="14"/>
      <c r="AB222" s="14"/>
      <c r="AC222" s="14"/>
      <c r="AD222" s="14"/>
      <c r="AE222" s="14"/>
      <c r="AF222" s="140"/>
      <c r="AG222" s="140"/>
      <c r="AH222" s="140"/>
      <c r="AI222" s="140"/>
    </row>
    <row r="223" spans="1:35" s="7" customFormat="1" ht="16" customHeight="1" x14ac:dyDescent="0.25">
      <c r="V223" s="14"/>
      <c r="W223" s="14"/>
      <c r="X223" s="14"/>
      <c r="Y223" s="14"/>
      <c r="Z223" s="14"/>
      <c r="AA223" s="14"/>
      <c r="AB223" s="14"/>
      <c r="AC223" s="14"/>
      <c r="AD223" s="14"/>
      <c r="AE223" s="14"/>
      <c r="AF223" s="140"/>
      <c r="AG223" s="140"/>
      <c r="AH223" s="140"/>
      <c r="AI223" s="140"/>
    </row>
    <row r="224" spans="1:35" s="7" customFormat="1" ht="16" customHeight="1" x14ac:dyDescent="0.25">
      <c r="V224" s="14"/>
      <c r="W224" s="14"/>
      <c r="X224" s="14"/>
      <c r="Y224" s="14"/>
      <c r="Z224" s="14"/>
      <c r="AA224" s="14"/>
      <c r="AB224" s="14"/>
      <c r="AC224" s="14"/>
      <c r="AD224" s="14"/>
      <c r="AE224" s="14"/>
    </row>
    <row r="225" spans="22:31" s="7" customFormat="1" ht="16" customHeight="1" x14ac:dyDescent="0.25">
      <c r="V225" s="14"/>
      <c r="W225" s="14"/>
      <c r="X225" s="14"/>
      <c r="Y225" s="14"/>
      <c r="Z225" s="14"/>
      <c r="AA225" s="14"/>
      <c r="AB225" s="14"/>
      <c r="AC225" s="14"/>
      <c r="AD225" s="14"/>
      <c r="AE225" s="14"/>
    </row>
    <row r="226" spans="22:31" s="7" customFormat="1" ht="16" customHeight="1" x14ac:dyDescent="0.25">
      <c r="V226" s="14"/>
      <c r="W226" s="14"/>
      <c r="X226" s="14"/>
      <c r="Y226" s="14"/>
      <c r="Z226" s="14"/>
      <c r="AA226" s="14"/>
      <c r="AB226" s="14"/>
      <c r="AC226" s="14"/>
      <c r="AD226" s="14"/>
      <c r="AE226" s="14"/>
    </row>
    <row r="227" spans="22:31" s="7" customFormat="1" ht="16" customHeight="1" x14ac:dyDescent="0.25">
      <c r="V227" s="14"/>
      <c r="W227" s="14"/>
      <c r="X227" s="14"/>
      <c r="Y227" s="14"/>
      <c r="Z227" s="14"/>
      <c r="AA227" s="14"/>
      <c r="AB227" s="14"/>
      <c r="AC227" s="14"/>
      <c r="AD227" s="14"/>
      <c r="AE227" s="14"/>
    </row>
    <row r="228" spans="22:31" s="7" customFormat="1" ht="16" customHeight="1" x14ac:dyDescent="0.25">
      <c r="V228" s="14"/>
      <c r="W228" s="14"/>
      <c r="X228" s="14"/>
      <c r="Y228" s="14"/>
      <c r="Z228" s="14"/>
      <c r="AA228" s="14"/>
      <c r="AB228" s="14"/>
      <c r="AC228" s="14"/>
      <c r="AD228" s="14"/>
      <c r="AE228" s="14"/>
    </row>
    <row r="229" spans="22:31" s="7" customFormat="1" ht="16" customHeight="1" x14ac:dyDescent="0.25">
      <c r="V229" s="14"/>
      <c r="W229" s="14"/>
      <c r="X229" s="14"/>
      <c r="Y229" s="14"/>
      <c r="Z229" s="14"/>
      <c r="AA229" s="14"/>
      <c r="AB229" s="14"/>
      <c r="AC229" s="14"/>
      <c r="AD229" s="14"/>
      <c r="AE229" s="14"/>
    </row>
    <row r="230" spans="22:31" s="7" customFormat="1" ht="16" customHeight="1" x14ac:dyDescent="0.25">
      <c r="V230" s="14"/>
      <c r="W230" s="14"/>
      <c r="X230" s="14"/>
      <c r="Y230" s="14"/>
      <c r="Z230" s="14"/>
      <c r="AA230" s="14"/>
      <c r="AB230" s="14"/>
      <c r="AC230" s="14"/>
      <c r="AD230" s="14"/>
      <c r="AE230" s="14"/>
    </row>
    <row r="231" spans="22:31" s="7" customFormat="1" ht="16" customHeight="1" x14ac:dyDescent="0.25">
      <c r="V231" s="14"/>
      <c r="W231" s="14"/>
      <c r="X231" s="14"/>
      <c r="Y231" s="14"/>
      <c r="Z231" s="14"/>
      <c r="AA231" s="14"/>
      <c r="AB231" s="14"/>
      <c r="AC231" s="14"/>
      <c r="AD231" s="14"/>
      <c r="AE231" s="14"/>
    </row>
    <row r="232" spans="22:31" s="7" customFormat="1" ht="16" customHeight="1" x14ac:dyDescent="0.25">
      <c r="V232" s="14"/>
      <c r="W232" s="14"/>
      <c r="X232" s="14"/>
      <c r="Y232" s="14"/>
      <c r="Z232" s="14"/>
      <c r="AA232" s="14"/>
      <c r="AB232" s="14"/>
      <c r="AC232" s="14"/>
      <c r="AD232" s="14"/>
      <c r="AE232" s="14"/>
    </row>
    <row r="233" spans="22:31" s="7" customFormat="1" ht="16" customHeight="1" x14ac:dyDescent="0.25">
      <c r="V233" s="14"/>
      <c r="W233" s="14"/>
      <c r="X233" s="14"/>
      <c r="Y233" s="14"/>
      <c r="Z233" s="14"/>
      <c r="AA233" s="14"/>
      <c r="AB233" s="14"/>
      <c r="AC233" s="14"/>
      <c r="AD233" s="14"/>
      <c r="AE233" s="14"/>
    </row>
    <row r="234" spans="22:31" s="7" customFormat="1" ht="16" customHeight="1" x14ac:dyDescent="0.25"/>
    <row r="235" spans="22:31" s="7" customFormat="1" ht="16" customHeight="1" x14ac:dyDescent="0.25"/>
    <row r="236" spans="22:31" s="7" customFormat="1" ht="16" customHeight="1" x14ac:dyDescent="0.25"/>
    <row r="237" spans="22:31" s="7" customFormat="1" ht="16" customHeight="1" x14ac:dyDescent="0.25"/>
    <row r="238" spans="22:31" s="7" customFormat="1" ht="16" customHeight="1" x14ac:dyDescent="0.25"/>
    <row r="239" spans="22:31" s="7" customFormat="1" ht="16" customHeight="1" x14ac:dyDescent="0.25"/>
    <row r="240" spans="22:31" s="7" customFormat="1" ht="16" customHeight="1" x14ac:dyDescent="0.25"/>
    <row r="241" spans="22:35" s="7" customFormat="1" ht="16" customHeight="1" x14ac:dyDescent="0.25"/>
    <row r="242" spans="22:35" s="7" customFormat="1" ht="16" customHeight="1" x14ac:dyDescent="0.25"/>
    <row r="243" spans="22:35" s="7" customFormat="1" ht="16" customHeight="1" x14ac:dyDescent="0.25"/>
    <row r="244" spans="22:35" s="7" customFormat="1" ht="16" customHeight="1" x14ac:dyDescent="0.25"/>
    <row r="245" spans="22:35" s="7" customFormat="1" ht="16" customHeight="1" x14ac:dyDescent="0.25"/>
    <row r="246" spans="22:35" s="7" customFormat="1" ht="16" customHeight="1" x14ac:dyDescent="0.25"/>
    <row r="247" spans="22:35" s="7" customFormat="1" ht="16" customHeight="1" x14ac:dyDescent="0.25"/>
    <row r="248" spans="22:35" s="7" customFormat="1" ht="16" customHeight="1" x14ac:dyDescent="0.25"/>
    <row r="249" spans="22:35" s="7" customFormat="1" ht="16" customHeight="1" x14ac:dyDescent="0.25"/>
    <row r="250" spans="22:35" s="7" customFormat="1" ht="16" customHeight="1" x14ac:dyDescent="0.25"/>
    <row r="251" spans="22:35" s="7" customFormat="1" ht="16" customHeight="1" x14ac:dyDescent="0.25">
      <c r="V251" s="139" t="s">
        <v>254</v>
      </c>
      <c r="W251" s="139"/>
      <c r="X251" s="139"/>
      <c r="Y251" s="139"/>
      <c r="Z251" s="139"/>
      <c r="AA251" s="139"/>
      <c r="AB251" s="139"/>
      <c r="AC251" s="139"/>
      <c r="AD251" s="139"/>
      <c r="AE251" s="139"/>
    </row>
    <row r="252" spans="22:35" s="7" customFormat="1" ht="16" customHeight="1" x14ac:dyDescent="0.25">
      <c r="V252" s="139"/>
      <c r="W252" s="139"/>
      <c r="X252" s="139"/>
      <c r="Y252" s="139"/>
      <c r="Z252" s="139"/>
      <c r="AA252" s="139"/>
      <c r="AB252" s="139"/>
      <c r="AC252" s="139"/>
      <c r="AD252" s="139"/>
      <c r="AE252" s="139"/>
    </row>
    <row r="253" spans="22:35" s="7" customFormat="1" ht="16" customHeight="1" x14ac:dyDescent="0.25">
      <c r="V253" s="14" t="s">
        <v>245</v>
      </c>
      <c r="W253" s="14"/>
      <c r="X253" s="14"/>
      <c r="Y253" s="14"/>
      <c r="Z253" s="14"/>
      <c r="AA253" s="14"/>
      <c r="AB253" s="14"/>
      <c r="AC253" s="14"/>
      <c r="AD253" s="14"/>
      <c r="AE253" s="14"/>
      <c r="AF253" s="140"/>
      <c r="AG253" s="140"/>
      <c r="AH253" s="140"/>
      <c r="AI253" s="140"/>
    </row>
    <row r="254" spans="22:35" s="7" customFormat="1" ht="16" customHeight="1" x14ac:dyDescent="0.25">
      <c r="V254" s="14"/>
      <c r="W254" s="14"/>
      <c r="X254" s="14"/>
      <c r="Y254" s="14"/>
      <c r="Z254" s="14"/>
      <c r="AA254" s="14"/>
      <c r="AB254" s="14"/>
      <c r="AC254" s="14"/>
      <c r="AD254" s="14"/>
      <c r="AE254" s="14"/>
      <c r="AF254" s="140"/>
      <c r="AG254" s="140"/>
      <c r="AH254" s="140"/>
      <c r="AI254" s="140"/>
    </row>
    <row r="255" spans="22:35" s="7" customFormat="1" ht="16" customHeight="1" x14ac:dyDescent="0.25">
      <c r="V255" s="14"/>
      <c r="W255" s="14"/>
      <c r="X255" s="14"/>
      <c r="Y255" s="14"/>
      <c r="Z255" s="14"/>
      <c r="AA255" s="14"/>
      <c r="AB255" s="14"/>
      <c r="AC255" s="14"/>
      <c r="AD255" s="14"/>
      <c r="AE255" s="14"/>
      <c r="AF255" s="140"/>
      <c r="AG255" s="140"/>
      <c r="AH255" s="140"/>
      <c r="AI255" s="140"/>
    </row>
    <row r="256" spans="22:35" s="7" customFormat="1" ht="16" customHeight="1" x14ac:dyDescent="0.25">
      <c r="V256" s="14"/>
      <c r="W256" s="14"/>
      <c r="X256" s="14"/>
      <c r="Y256" s="14"/>
      <c r="Z256" s="14"/>
      <c r="AA256" s="14"/>
      <c r="AB256" s="14"/>
      <c r="AC256" s="14"/>
      <c r="AD256" s="14"/>
      <c r="AE256" s="14"/>
      <c r="AF256" s="140"/>
      <c r="AG256" s="140"/>
      <c r="AH256" s="140"/>
      <c r="AI256" s="140"/>
    </row>
    <row r="257" spans="22:31" s="7" customFormat="1" ht="16" customHeight="1" x14ac:dyDescent="0.25">
      <c r="V257" s="14"/>
      <c r="W257" s="14"/>
      <c r="X257" s="14"/>
      <c r="Y257" s="14"/>
      <c r="Z257" s="14"/>
      <c r="AA257" s="14"/>
      <c r="AB257" s="14"/>
      <c r="AC257" s="14"/>
      <c r="AD257" s="14"/>
      <c r="AE257" s="14"/>
    </row>
    <row r="258" spans="22:31" s="7" customFormat="1" ht="16" customHeight="1" x14ac:dyDescent="0.25">
      <c r="V258" s="14"/>
      <c r="W258" s="14"/>
      <c r="X258" s="14"/>
      <c r="Y258" s="14"/>
      <c r="Z258" s="14"/>
      <c r="AA258" s="14"/>
      <c r="AB258" s="14"/>
      <c r="AC258" s="14"/>
      <c r="AD258" s="14"/>
      <c r="AE258" s="14"/>
    </row>
    <row r="259" spans="22:31" s="7" customFormat="1" ht="16" customHeight="1" x14ac:dyDescent="0.25">
      <c r="V259" s="14"/>
      <c r="W259" s="14"/>
      <c r="X259" s="14"/>
      <c r="Y259" s="14"/>
      <c r="Z259" s="14"/>
      <c r="AA259" s="14"/>
      <c r="AB259" s="14"/>
      <c r="AC259" s="14"/>
      <c r="AD259" s="14"/>
      <c r="AE259" s="14"/>
    </row>
    <row r="260" spans="22:31" s="7" customFormat="1" ht="16" customHeight="1" x14ac:dyDescent="0.25">
      <c r="V260" s="14"/>
      <c r="W260" s="14"/>
      <c r="X260" s="14"/>
      <c r="Y260" s="14"/>
      <c r="Z260" s="14"/>
      <c r="AA260" s="14"/>
      <c r="AB260" s="14"/>
      <c r="AC260" s="14"/>
      <c r="AD260" s="14"/>
      <c r="AE260" s="14"/>
    </row>
    <row r="261" spans="22:31" s="7" customFormat="1" ht="16" customHeight="1" x14ac:dyDescent="0.25">
      <c r="V261" s="14"/>
      <c r="W261" s="14"/>
      <c r="X261" s="14"/>
      <c r="Y261" s="14"/>
      <c r="Z261" s="14"/>
      <c r="AA261" s="14"/>
      <c r="AB261" s="14"/>
      <c r="AC261" s="14"/>
      <c r="AD261" s="14"/>
      <c r="AE261" s="14"/>
    </row>
    <row r="262" spans="22:31" s="7" customFormat="1" ht="16" customHeight="1" x14ac:dyDescent="0.25">
      <c r="V262" s="14"/>
      <c r="W262" s="14"/>
      <c r="X262" s="14"/>
      <c r="Y262" s="14"/>
      <c r="Z262" s="14"/>
      <c r="AA262" s="14"/>
      <c r="AB262" s="14"/>
      <c r="AC262" s="14"/>
      <c r="AD262" s="14"/>
      <c r="AE262" s="14"/>
    </row>
    <row r="263" spans="22:31" s="7" customFormat="1" ht="16" customHeight="1" x14ac:dyDescent="0.25"/>
    <row r="264" spans="22:31" s="7" customFormat="1" ht="16" customHeight="1" x14ac:dyDescent="0.25"/>
    <row r="265" spans="22:31" s="7" customFormat="1" ht="16" customHeight="1" x14ac:dyDescent="0.25"/>
    <row r="266" spans="22:31" s="7" customFormat="1" ht="16" customHeight="1" x14ac:dyDescent="0.25"/>
    <row r="267" spans="22:31" s="7" customFormat="1" ht="16" customHeight="1" x14ac:dyDescent="0.25"/>
    <row r="268" spans="22:31" s="7" customFormat="1" ht="16" customHeight="1" x14ac:dyDescent="0.25"/>
    <row r="269" spans="22:31" s="7" customFormat="1" ht="16" customHeight="1" x14ac:dyDescent="0.25"/>
    <row r="270" spans="22:31" s="7" customFormat="1" ht="16" customHeight="1" x14ac:dyDescent="0.25"/>
    <row r="271" spans="22:31" s="7" customFormat="1" ht="16" customHeight="1" x14ac:dyDescent="0.25"/>
    <row r="272" spans="22:31" s="7" customFormat="1" ht="16" customHeight="1" x14ac:dyDescent="0.25"/>
    <row r="273" spans="22:31" s="7" customFormat="1" ht="16" customHeight="1" x14ac:dyDescent="0.25"/>
    <row r="274" spans="22:31" s="7" customFormat="1" ht="16" customHeight="1" x14ac:dyDescent="0.25">
      <c r="V274" s="139" t="s">
        <v>255</v>
      </c>
      <c r="W274" s="139"/>
      <c r="X274" s="139"/>
      <c r="Y274" s="139"/>
      <c r="Z274" s="139"/>
      <c r="AA274" s="139"/>
      <c r="AB274" s="139"/>
      <c r="AC274" s="139"/>
      <c r="AD274" s="139"/>
      <c r="AE274" s="139"/>
    </row>
    <row r="275" spans="22:31" s="7" customFormat="1" ht="16" customHeight="1" x14ac:dyDescent="0.25">
      <c r="V275" s="139"/>
      <c r="W275" s="139"/>
      <c r="X275" s="139"/>
      <c r="Y275" s="139"/>
      <c r="Z275" s="139"/>
      <c r="AA275" s="139"/>
      <c r="AB275" s="139"/>
      <c r="AC275" s="139"/>
      <c r="AD275" s="139"/>
      <c r="AE275" s="139"/>
    </row>
    <row r="276" spans="22:31" s="7" customFormat="1" ht="16" customHeight="1" x14ac:dyDescent="0.25"/>
    <row r="277" spans="22:31" s="7" customFormat="1" ht="16" customHeight="1" x14ac:dyDescent="0.25"/>
    <row r="278" spans="22:31" s="7" customFormat="1" ht="16" customHeight="1" x14ac:dyDescent="0.25"/>
    <row r="279" spans="22:31" s="7" customFormat="1" ht="16" customHeight="1" x14ac:dyDescent="0.25"/>
    <row r="280" spans="22:31" s="7" customFormat="1" ht="16" customHeight="1" x14ac:dyDescent="0.25"/>
    <row r="281" spans="22:31" s="7" customFormat="1" ht="16" customHeight="1" x14ac:dyDescent="0.25"/>
    <row r="282" spans="22:31" s="7" customFormat="1" ht="16" customHeight="1" x14ac:dyDescent="0.25"/>
    <row r="283" spans="22:31" s="7" customFormat="1" ht="16" customHeight="1" x14ac:dyDescent="0.25"/>
    <row r="284" spans="22:31" s="7" customFormat="1" ht="16" customHeight="1" x14ac:dyDescent="0.25"/>
    <row r="285" spans="22:31" s="7" customFormat="1" ht="16" customHeight="1" x14ac:dyDescent="0.25"/>
    <row r="286" spans="22:31" s="7" customFormat="1" ht="16" customHeight="1" x14ac:dyDescent="0.25"/>
    <row r="287" spans="22:31" s="7" customFormat="1" ht="16" customHeight="1" x14ac:dyDescent="0.25"/>
    <row r="288" spans="22:31" s="7" customFormat="1" ht="16" customHeight="1" x14ac:dyDescent="0.25"/>
    <row r="289" spans="1:31" s="7" customFormat="1" ht="16" customHeight="1" x14ac:dyDescent="0.25"/>
    <row r="290" spans="1:31" s="7" customFormat="1" ht="16" customHeight="1" x14ac:dyDescent="0.25"/>
    <row r="291" spans="1:31" s="7" customFormat="1" ht="16" customHeight="1" x14ac:dyDescent="0.25"/>
    <row r="292" spans="1:31" s="7" customFormat="1" ht="16" customHeight="1" x14ac:dyDescent="0.25"/>
    <row r="293" spans="1:31" s="7" customFormat="1" ht="16" customHeight="1" x14ac:dyDescent="0.25">
      <c r="R293" s="13"/>
    </row>
    <row r="294" spans="1:31" s="7" customFormat="1" ht="16" customHeight="1" x14ac:dyDescent="0.25"/>
    <row r="295" spans="1:31" s="7" customFormat="1" ht="16" customHeight="1" x14ac:dyDescent="0.25"/>
    <row r="296" spans="1:31" s="7" customFormat="1" ht="16" customHeight="1" x14ac:dyDescent="0.25"/>
    <row r="297" spans="1:31" s="7" customFormat="1" ht="16" customHeight="1" x14ac:dyDescent="0.25"/>
    <row r="298" spans="1:31" s="7" customFormat="1" ht="16" customHeight="1" x14ac:dyDescent="0.25"/>
    <row r="299" spans="1:31" s="7" customFormat="1" ht="16" customHeight="1" x14ac:dyDescent="0.25">
      <c r="B299" s="13"/>
      <c r="R299" s="13"/>
    </row>
    <row r="300" spans="1:31" s="7" customFormat="1" ht="16" customHeight="1" x14ac:dyDescent="0.25"/>
    <row r="301" spans="1:31" s="7" customFormat="1" ht="16" customHeight="1" x14ac:dyDescent="0.25">
      <c r="A301" s="13" t="s">
        <v>205</v>
      </c>
    </row>
    <row r="302" spans="1:31" s="7" customFormat="1" ht="16" customHeight="1" x14ac:dyDescent="0.25"/>
    <row r="303" spans="1:31" s="7" customFormat="1" ht="16" customHeight="1" x14ac:dyDescent="0.25">
      <c r="A303" s="7" t="s">
        <v>123</v>
      </c>
      <c r="P303" s="24" t="s">
        <v>383</v>
      </c>
      <c r="Q303" s="135">
        <v>18</v>
      </c>
      <c r="R303" s="135"/>
      <c r="S303" s="135"/>
      <c r="T303" s="7" t="s">
        <v>108</v>
      </c>
      <c r="AE303" s="24" t="s">
        <v>177</v>
      </c>
    </row>
    <row r="304" spans="1:31" s="7" customFormat="1" ht="16" customHeight="1" x14ac:dyDescent="0.25">
      <c r="A304" s="7" t="s">
        <v>124</v>
      </c>
      <c r="P304" s="24" t="s">
        <v>384</v>
      </c>
      <c r="Q304" s="135">
        <v>1</v>
      </c>
      <c r="R304" s="135"/>
      <c r="S304" s="135"/>
      <c r="T304" s="7" t="s">
        <v>108</v>
      </c>
      <c r="AE304" s="24" t="s">
        <v>177</v>
      </c>
    </row>
    <row r="305" spans="1:34" s="7" customFormat="1" ht="16" customHeight="1" x14ac:dyDescent="0.25">
      <c r="A305" s="7" t="s">
        <v>105</v>
      </c>
      <c r="P305" s="141" t="s">
        <v>385</v>
      </c>
      <c r="Q305" s="30">
        <v>0.4</v>
      </c>
      <c r="R305" s="30"/>
      <c r="S305" s="30"/>
      <c r="AE305" s="24" t="s">
        <v>177</v>
      </c>
    </row>
    <row r="306" spans="1:34" s="7" customFormat="1" ht="16" customHeight="1" x14ac:dyDescent="0.25">
      <c r="A306" s="7" t="s">
        <v>106</v>
      </c>
      <c r="P306" s="141" t="s">
        <v>386</v>
      </c>
      <c r="Q306" s="30">
        <v>0.45</v>
      </c>
      <c r="R306" s="30"/>
      <c r="S306" s="30"/>
      <c r="AE306" s="24" t="s">
        <v>177</v>
      </c>
    </row>
    <row r="307" spans="1:34" s="7" customFormat="1" ht="16" customHeight="1" x14ac:dyDescent="0.25">
      <c r="A307" s="7" t="s">
        <v>183</v>
      </c>
      <c r="P307" s="24" t="s">
        <v>387</v>
      </c>
      <c r="Q307" s="69">
        <f>PI()*Q181^2/144*0.25</f>
        <v>7.0685834705770345</v>
      </c>
      <c r="R307" s="69"/>
      <c r="S307" s="69"/>
      <c r="T307" s="7" t="s">
        <v>350</v>
      </c>
    </row>
    <row r="308" spans="1:34" s="7" customFormat="1" ht="16" customHeight="1" x14ac:dyDescent="0.25">
      <c r="A308" s="7" t="s">
        <v>184</v>
      </c>
      <c r="P308" s="24" t="s">
        <v>388</v>
      </c>
      <c r="Q308" s="69">
        <f>PI()*Q181/12</f>
        <v>9.4247779607693793</v>
      </c>
      <c r="R308" s="69"/>
      <c r="S308" s="69"/>
      <c r="T308" s="7" t="s">
        <v>247</v>
      </c>
    </row>
    <row r="309" spans="1:34" s="7" customFormat="1" ht="16" customHeight="1" x14ac:dyDescent="0.25">
      <c r="A309" s="7" t="s">
        <v>168</v>
      </c>
      <c r="P309" s="24" t="s">
        <v>389</v>
      </c>
      <c r="Q309" s="69">
        <f>Q180</f>
        <v>5.5</v>
      </c>
      <c r="R309" s="69"/>
      <c r="S309" s="69"/>
      <c r="T309" s="7" t="s">
        <v>247</v>
      </c>
    </row>
    <row r="310" spans="1:34" s="7" customFormat="1" ht="16" customHeight="1" x14ac:dyDescent="0.25">
      <c r="A310" s="7" t="s">
        <v>169</v>
      </c>
      <c r="P310" s="141" t="s">
        <v>390</v>
      </c>
      <c r="Q310" s="69">
        <f>Q303*Q305*Q307</f>
        <v>50.893800988154652</v>
      </c>
      <c r="R310" s="69"/>
      <c r="S310" s="69"/>
      <c r="T310" s="7" t="s">
        <v>1</v>
      </c>
      <c r="AE310" s="24" t="s">
        <v>125</v>
      </c>
    </row>
    <row r="311" spans="1:34" s="7" customFormat="1" ht="16" customHeight="1" x14ac:dyDescent="0.25">
      <c r="A311" s="7" t="s">
        <v>170</v>
      </c>
      <c r="P311" s="141" t="s">
        <v>391</v>
      </c>
      <c r="Q311" s="69">
        <f>Q304*Q306*Q308*Q180</f>
        <v>23.326325452904214</v>
      </c>
      <c r="R311" s="69"/>
      <c r="S311" s="69"/>
      <c r="T311" s="7" t="s">
        <v>1</v>
      </c>
      <c r="AE311" s="24" t="s">
        <v>126</v>
      </c>
      <c r="AH311" s="11"/>
    </row>
    <row r="312" spans="1:34" s="7" customFormat="1" ht="16" customHeight="1" x14ac:dyDescent="0.25">
      <c r="A312" s="7" t="s">
        <v>203</v>
      </c>
      <c r="Q312" s="69">
        <f>Q310+Q311</f>
        <v>74.220126441058866</v>
      </c>
      <c r="R312" s="69"/>
      <c r="S312" s="69"/>
      <c r="T312" s="7" t="s">
        <v>1</v>
      </c>
      <c r="AE312" s="24" t="s">
        <v>122</v>
      </c>
      <c r="AH312" s="11"/>
    </row>
    <row r="313" spans="1:34" s="7" customFormat="1" ht="16" customHeight="1" x14ac:dyDescent="0.25"/>
    <row r="314" spans="1:34" s="7" customFormat="1" ht="16" customHeight="1" x14ac:dyDescent="0.25">
      <c r="A314" s="7" t="s">
        <v>107</v>
      </c>
      <c r="Q314" s="69">
        <f>MAX(F153:G156)+(Q307*Q179*Q17/1000)</f>
        <v>15.150405296859589</v>
      </c>
      <c r="R314" s="69"/>
      <c r="S314" s="69"/>
      <c r="T314" s="7" t="s">
        <v>1</v>
      </c>
      <c r="AE314" s="24" t="s">
        <v>392</v>
      </c>
    </row>
    <row r="315" spans="1:34" s="7" customFormat="1" ht="16" customHeight="1" x14ac:dyDescent="0.25">
      <c r="Q315" s="69" t="str">
        <f>IF(Q314&lt;Q316,"&lt;","&gt;")</f>
        <v>&lt;</v>
      </c>
      <c r="R315" s="69"/>
      <c r="S315" s="69"/>
      <c r="V315" s="11"/>
      <c r="W315" s="11"/>
      <c r="X315" s="11"/>
      <c r="Z315" s="11"/>
      <c r="AA315" s="11"/>
      <c r="AB315" s="11"/>
      <c r="AE315" s="11"/>
      <c r="AF315" s="11"/>
      <c r="AG315" s="11"/>
    </row>
    <row r="316" spans="1:34" s="7" customFormat="1" ht="16" customHeight="1" x14ac:dyDescent="0.25">
      <c r="Q316" s="69">
        <f>Q312</f>
        <v>74.220126441058866</v>
      </c>
      <c r="R316" s="69"/>
      <c r="S316" s="69"/>
      <c r="T316" s="7" t="s">
        <v>1</v>
      </c>
      <c r="V316" s="11"/>
      <c r="W316" s="11"/>
      <c r="X316" s="11"/>
      <c r="Z316" s="11"/>
      <c r="AA316" s="11"/>
      <c r="AB316" s="11"/>
      <c r="AE316" s="11"/>
      <c r="AF316" s="11"/>
      <c r="AG316" s="11"/>
    </row>
    <row r="317" spans="1:34" s="7" customFormat="1" ht="16" customHeight="1" x14ac:dyDescent="0.25">
      <c r="Q317" s="69" t="str">
        <f>IF(Q315="&lt;","OK!","No Good!")</f>
        <v>OK!</v>
      </c>
      <c r="R317" s="69"/>
      <c r="S317" s="69"/>
      <c r="T317" s="69"/>
    </row>
    <row r="318" spans="1:34" s="7" customFormat="1" ht="16" customHeight="1" x14ac:dyDescent="0.25"/>
    <row r="319" spans="1:34" s="7" customFormat="1" ht="16" customHeight="1" x14ac:dyDescent="0.25">
      <c r="A319" s="13" t="s">
        <v>206</v>
      </c>
    </row>
    <row r="320" spans="1:34" s="7" customFormat="1" ht="16" customHeight="1" x14ac:dyDescent="0.25">
      <c r="A320" s="7" t="s">
        <v>257</v>
      </c>
    </row>
    <row r="321" spans="1:32" s="7" customFormat="1" ht="16" customHeight="1" x14ac:dyDescent="0.25">
      <c r="A321" s="142" t="s">
        <v>262</v>
      </c>
      <c r="B321" s="142"/>
      <c r="C321" s="142"/>
      <c r="D321" s="142"/>
      <c r="E321" s="142"/>
      <c r="F321" s="142"/>
      <c r="G321" s="142"/>
      <c r="H321" s="142"/>
      <c r="I321" s="142"/>
      <c r="J321" s="142"/>
      <c r="K321" s="142"/>
      <c r="L321" s="142"/>
      <c r="M321" s="142"/>
      <c r="N321" s="142"/>
      <c r="O321" s="142"/>
      <c r="P321" s="142"/>
      <c r="Q321" s="142"/>
      <c r="R321" s="142"/>
      <c r="S321" s="142"/>
      <c r="T321" s="142"/>
      <c r="U321" s="142"/>
      <c r="V321" s="142"/>
      <c r="W321" s="142"/>
      <c r="X321" s="142"/>
      <c r="Y321" s="142"/>
      <c r="Z321" s="142"/>
      <c r="AA321" s="142"/>
      <c r="AB321" s="142"/>
      <c r="AC321" s="142"/>
      <c r="AD321" s="142"/>
      <c r="AE321" s="142"/>
      <c r="AF321" s="142"/>
    </row>
    <row r="322" spans="1:32" s="7" customFormat="1" ht="16" customHeight="1" x14ac:dyDescent="0.25">
      <c r="A322" s="142"/>
      <c r="B322" s="142"/>
      <c r="C322" s="142"/>
      <c r="D322" s="142"/>
      <c r="E322" s="142"/>
      <c r="F322" s="142"/>
      <c r="G322" s="142"/>
      <c r="H322" s="142"/>
      <c r="I322" s="142"/>
      <c r="J322" s="142"/>
      <c r="K322" s="142"/>
      <c r="L322" s="142"/>
      <c r="M322" s="142"/>
      <c r="N322" s="142"/>
      <c r="O322" s="142"/>
      <c r="P322" s="142"/>
      <c r="Q322" s="142"/>
      <c r="R322" s="142"/>
      <c r="S322" s="142"/>
      <c r="T322" s="142"/>
      <c r="U322" s="142"/>
      <c r="V322" s="142"/>
      <c r="W322" s="142"/>
      <c r="X322" s="142"/>
      <c r="Y322" s="142"/>
      <c r="Z322" s="142"/>
      <c r="AA322" s="142"/>
      <c r="AB322" s="142"/>
      <c r="AC322" s="142"/>
      <c r="AD322" s="142"/>
      <c r="AE322" s="142"/>
      <c r="AF322" s="142"/>
    </row>
    <row r="323" spans="1:32" s="7" customFormat="1" ht="16" customHeight="1" x14ac:dyDescent="0.25">
      <c r="A323" s="143"/>
      <c r="B323" s="143"/>
      <c r="C323" s="143"/>
      <c r="D323" s="143"/>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c r="AA323" s="143"/>
      <c r="AB323" s="143"/>
      <c r="AC323" s="143"/>
      <c r="AD323" s="143"/>
      <c r="AE323" s="143"/>
      <c r="AF323" s="143"/>
    </row>
    <row r="324" spans="1:32" s="7" customFormat="1" ht="16" customHeight="1" x14ac:dyDescent="0.25">
      <c r="A324" s="143"/>
      <c r="B324" s="143"/>
      <c r="C324" s="143"/>
      <c r="D324" s="143"/>
      <c r="E324" s="143"/>
      <c r="F324" s="143"/>
      <c r="G324" s="143"/>
      <c r="H324" s="143"/>
      <c r="I324" s="143"/>
      <c r="J324" s="143"/>
      <c r="K324" s="143"/>
      <c r="L324" s="143"/>
      <c r="M324" s="143"/>
      <c r="N324" s="143"/>
      <c r="O324" s="143"/>
      <c r="P324" s="141" t="s">
        <v>393</v>
      </c>
      <c r="Q324" s="144">
        <v>0.75</v>
      </c>
      <c r="R324" s="144"/>
      <c r="S324" s="144"/>
      <c r="T324" s="145"/>
      <c r="U324" s="143"/>
      <c r="V324" s="143"/>
      <c r="W324" s="143"/>
      <c r="X324" s="143"/>
      <c r="Y324" s="143"/>
      <c r="Z324" s="143"/>
      <c r="AA324" s="143"/>
      <c r="AB324" s="143"/>
      <c r="AC324" s="143"/>
      <c r="AD324" s="143"/>
      <c r="AE324" s="24" t="s">
        <v>175</v>
      </c>
      <c r="AF324" s="143"/>
    </row>
    <row r="325" spans="1:32" s="7" customFormat="1" ht="16" customHeight="1" x14ac:dyDescent="0.25"/>
    <row r="326" spans="1:32" s="7" customFormat="1" ht="16" customHeight="1" x14ac:dyDescent="0.25">
      <c r="A326" s="77" t="s">
        <v>91</v>
      </c>
      <c r="B326" s="77"/>
      <c r="C326" s="77"/>
      <c r="D326" s="77"/>
      <c r="E326" s="105" t="s">
        <v>93</v>
      </c>
      <c r="F326" s="106"/>
      <c r="G326" s="106"/>
      <c r="H326" s="127"/>
      <c r="I326" s="107" t="s">
        <v>394</v>
      </c>
      <c r="J326" s="108"/>
      <c r="K326" s="108"/>
      <c r="L326" s="108"/>
      <c r="M326" s="108"/>
      <c r="N326" s="109"/>
      <c r="O326" s="75" t="s">
        <v>204</v>
      </c>
      <c r="P326" s="75"/>
      <c r="Q326" s="77" t="s">
        <v>395</v>
      </c>
      <c r="R326" s="77"/>
      <c r="S326" s="77"/>
      <c r="T326" s="77"/>
      <c r="U326" s="77"/>
      <c r="V326" s="77"/>
      <c r="W326" s="77" t="s">
        <v>396</v>
      </c>
      <c r="X326" s="77"/>
      <c r="Y326" s="77"/>
      <c r="Z326" s="77"/>
      <c r="AA326" s="77"/>
      <c r="AB326" s="77"/>
      <c r="AC326" s="75" t="s">
        <v>128</v>
      </c>
      <c r="AD326" s="75"/>
      <c r="AE326" s="75"/>
    </row>
    <row r="327" spans="1:32" s="7" customFormat="1" ht="27" customHeight="1" x14ac:dyDescent="0.25">
      <c r="A327" s="77"/>
      <c r="B327" s="77"/>
      <c r="C327" s="77"/>
      <c r="D327" s="77"/>
      <c r="E327" s="110"/>
      <c r="F327" s="111"/>
      <c r="G327" s="111"/>
      <c r="H327" s="128"/>
      <c r="I327" s="112"/>
      <c r="J327" s="113"/>
      <c r="K327" s="113"/>
      <c r="L327" s="113"/>
      <c r="M327" s="113"/>
      <c r="N327" s="114"/>
      <c r="O327" s="75"/>
      <c r="P327" s="75"/>
      <c r="Q327" s="77"/>
      <c r="R327" s="77"/>
      <c r="S327" s="77"/>
      <c r="T327" s="77"/>
      <c r="U327" s="77"/>
      <c r="V327" s="77"/>
      <c r="W327" s="77"/>
      <c r="X327" s="77"/>
      <c r="Y327" s="77"/>
      <c r="Z327" s="77"/>
      <c r="AA327" s="77"/>
      <c r="AB327" s="77"/>
      <c r="AC327" s="75"/>
      <c r="AD327" s="75"/>
      <c r="AE327" s="75"/>
    </row>
    <row r="328" spans="1:32" s="7" customFormat="1" ht="16" customHeight="1" x14ac:dyDescent="0.25">
      <c r="A328" s="129">
        <v>5</v>
      </c>
      <c r="B328" s="129"/>
      <c r="C328" s="129"/>
      <c r="D328" s="129"/>
      <c r="E328" s="130">
        <f>SMALL($S$194:$V$200,1)</f>
        <v>984.00062104874621</v>
      </c>
      <c r="F328" s="131"/>
      <c r="G328" s="131"/>
      <c r="H328" s="132"/>
      <c r="I328" s="146">
        <v>8472.8700000000008</v>
      </c>
      <c r="J328" s="147"/>
      <c r="K328" s="147"/>
      <c r="L328" s="147"/>
      <c r="M328" s="147"/>
      <c r="N328" s="148"/>
      <c r="O328" s="75">
        <v>0.75</v>
      </c>
      <c r="P328" s="75"/>
      <c r="Q328" s="149">
        <f>I328*O328</f>
        <v>6354.6525000000001</v>
      </c>
      <c r="R328" s="150"/>
      <c r="S328" s="150"/>
      <c r="T328" s="150"/>
      <c r="U328" s="150"/>
      <c r="V328" s="151"/>
      <c r="W328" s="146">
        <v>540.55999999999995</v>
      </c>
      <c r="X328" s="147"/>
      <c r="Y328" s="147"/>
      <c r="Z328" s="147"/>
      <c r="AA328" s="147"/>
      <c r="AB328" s="148"/>
      <c r="AC328" s="75" t="str">
        <f>IF(W328&lt;Q328,"OK!","No Good!")</f>
        <v>OK!</v>
      </c>
      <c r="AD328" s="75"/>
      <c r="AE328" s="75"/>
    </row>
    <row r="329" spans="1:32" s="7" customFormat="1" ht="16" customHeight="1" x14ac:dyDescent="0.25">
      <c r="A329" s="129">
        <v>7</v>
      </c>
      <c r="B329" s="129"/>
      <c r="C329" s="129"/>
      <c r="D329" s="129"/>
      <c r="E329" s="130">
        <f>SMALL($S$194:$V$200,3)</f>
        <v>1093.3340233874958</v>
      </c>
      <c r="F329" s="131"/>
      <c r="G329" s="131"/>
      <c r="H329" s="132"/>
      <c r="I329" s="146">
        <v>8474.1200000000008</v>
      </c>
      <c r="J329" s="147"/>
      <c r="K329" s="147"/>
      <c r="L329" s="147"/>
      <c r="M329" s="147"/>
      <c r="N329" s="148"/>
      <c r="O329" s="75">
        <v>0.75</v>
      </c>
      <c r="P329" s="75"/>
      <c r="Q329" s="149">
        <f t="shared" ref="Q329:Q331" si="5">I329*O329</f>
        <v>6355.59</v>
      </c>
      <c r="R329" s="150"/>
      <c r="S329" s="150"/>
      <c r="T329" s="150"/>
      <c r="U329" s="150"/>
      <c r="V329" s="151"/>
      <c r="W329" s="146">
        <v>540.55999999999995</v>
      </c>
      <c r="X329" s="147"/>
      <c r="Y329" s="147"/>
      <c r="Z329" s="147"/>
      <c r="AA329" s="147"/>
      <c r="AB329" s="148"/>
      <c r="AC329" s="75" t="str">
        <f t="shared" ref="AC329:AC331" si="6">IF(W329&lt;Q329,"OK!","No Good!")</f>
        <v>OK!</v>
      </c>
      <c r="AD329" s="75"/>
      <c r="AE329" s="75"/>
    </row>
    <row r="330" spans="1:32" s="7" customFormat="1" ht="16" customHeight="1" x14ac:dyDescent="0.25">
      <c r="A330" s="129">
        <v>3</v>
      </c>
      <c r="B330" s="129"/>
      <c r="C330" s="129"/>
      <c r="D330" s="129"/>
      <c r="E330" s="130">
        <f>SMALL($S$194:$V$200,5)</f>
        <v>1202.6674257262455</v>
      </c>
      <c r="F330" s="131"/>
      <c r="G330" s="131"/>
      <c r="H330" s="132"/>
      <c r="I330" s="146">
        <v>8475.3700000000008</v>
      </c>
      <c r="J330" s="147"/>
      <c r="K330" s="147"/>
      <c r="L330" s="147"/>
      <c r="M330" s="147"/>
      <c r="N330" s="148"/>
      <c r="O330" s="75">
        <v>0.75</v>
      </c>
      <c r="P330" s="75"/>
      <c r="Q330" s="149">
        <f t="shared" si="5"/>
        <v>6356.5275000000001</v>
      </c>
      <c r="R330" s="150"/>
      <c r="S330" s="150"/>
      <c r="T330" s="150"/>
      <c r="U330" s="150"/>
      <c r="V330" s="151"/>
      <c r="W330" s="146">
        <v>540.55999999999995</v>
      </c>
      <c r="X330" s="147"/>
      <c r="Y330" s="147"/>
      <c r="Z330" s="147"/>
      <c r="AA330" s="147"/>
      <c r="AB330" s="148"/>
      <c r="AC330" s="75" t="str">
        <f t="shared" si="6"/>
        <v>OK!</v>
      </c>
      <c r="AD330" s="75"/>
      <c r="AE330" s="75"/>
    </row>
    <row r="331" spans="1:32" s="7" customFormat="1" ht="16" customHeight="1" x14ac:dyDescent="0.25">
      <c r="A331" s="129">
        <v>1</v>
      </c>
      <c r="B331" s="129"/>
      <c r="C331" s="129"/>
      <c r="D331" s="129"/>
      <c r="E331" s="130">
        <f>SMALL($S$194:$V$200,7)</f>
        <v>1366.6675292343698</v>
      </c>
      <c r="F331" s="131"/>
      <c r="G331" s="131"/>
      <c r="H331" s="132"/>
      <c r="I331" s="146">
        <v>8477.25</v>
      </c>
      <c r="J331" s="147"/>
      <c r="K331" s="147"/>
      <c r="L331" s="147"/>
      <c r="M331" s="147"/>
      <c r="N331" s="148"/>
      <c r="O331" s="75">
        <v>0.75</v>
      </c>
      <c r="P331" s="75"/>
      <c r="Q331" s="149">
        <f t="shared" si="5"/>
        <v>6357.9375</v>
      </c>
      <c r="R331" s="150"/>
      <c r="S331" s="150"/>
      <c r="T331" s="150"/>
      <c r="U331" s="150"/>
      <c r="V331" s="151"/>
      <c r="W331" s="146">
        <v>54.35</v>
      </c>
      <c r="X331" s="147"/>
      <c r="Y331" s="147"/>
      <c r="Z331" s="147"/>
      <c r="AA331" s="147"/>
      <c r="AB331" s="148"/>
      <c r="AC331" s="75" t="str">
        <f t="shared" si="6"/>
        <v>OK!</v>
      </c>
      <c r="AD331" s="75"/>
      <c r="AE331" s="75"/>
    </row>
    <row r="332" spans="1:32" s="7" customFormat="1" ht="16" customHeight="1" x14ac:dyDescent="0.25"/>
    <row r="333" spans="1:32" s="7" customFormat="1" ht="16" customHeight="1" x14ac:dyDescent="0.25">
      <c r="A333" s="13" t="s">
        <v>207</v>
      </c>
    </row>
    <row r="334" spans="1:32" s="7" customFormat="1" ht="16" customHeight="1" x14ac:dyDescent="0.25">
      <c r="A334" s="7" t="s">
        <v>290</v>
      </c>
    </row>
    <row r="335" spans="1:32" s="7" customFormat="1" ht="16" customHeight="1" x14ac:dyDescent="0.25">
      <c r="A335" s="7" t="s">
        <v>208</v>
      </c>
      <c r="P335" s="24" t="s">
        <v>397</v>
      </c>
      <c r="Q335" s="69">
        <f>P215/1000</f>
        <v>7.2610000000000001</v>
      </c>
      <c r="R335" s="69"/>
      <c r="S335" s="69"/>
      <c r="T335" s="7" t="s">
        <v>1</v>
      </c>
    </row>
    <row r="336" spans="1:32" s="7" customFormat="1" ht="16" customHeight="1" x14ac:dyDescent="0.25">
      <c r="A336" s="7" t="s">
        <v>209</v>
      </c>
      <c r="P336" s="24" t="s">
        <v>398</v>
      </c>
      <c r="Q336" s="69">
        <f>MAX(M154:Q156)</f>
        <v>20.923191320283117</v>
      </c>
      <c r="R336" s="69"/>
      <c r="S336" s="69"/>
      <c r="T336" s="7" t="s">
        <v>258</v>
      </c>
    </row>
    <row r="337" spans="1:31" s="7" customFormat="1" ht="16" customHeight="1" x14ac:dyDescent="0.25">
      <c r="A337" s="7" t="s">
        <v>210</v>
      </c>
      <c r="P337" s="24" t="s">
        <v>399</v>
      </c>
      <c r="Q337" s="69">
        <f>MAX(W328:AB331)/12</f>
        <v>45.04666666666666</v>
      </c>
      <c r="R337" s="69"/>
      <c r="S337" s="69"/>
      <c r="T337" s="7" t="s">
        <v>258</v>
      </c>
    </row>
    <row r="338" spans="1:31" s="7" customFormat="1" ht="16" customHeight="1" x14ac:dyDescent="0.25">
      <c r="A338" s="7" t="s">
        <v>211</v>
      </c>
      <c r="P338" s="24" t="s">
        <v>400</v>
      </c>
      <c r="Q338" s="69">
        <f>Q314</f>
        <v>15.150405296859589</v>
      </c>
      <c r="R338" s="69"/>
      <c r="S338" s="69"/>
      <c r="T338" s="7" t="s">
        <v>1</v>
      </c>
    </row>
    <row r="339" spans="1:31" s="7" customFormat="1" ht="16" customHeight="1" x14ac:dyDescent="0.25">
      <c r="A339" s="7" t="s">
        <v>233</v>
      </c>
      <c r="P339" s="24" t="s">
        <v>401</v>
      </c>
      <c r="Q339" s="69">
        <v>0.9</v>
      </c>
      <c r="R339" s="69"/>
      <c r="S339" s="69"/>
      <c r="AE339" s="24" t="s">
        <v>175</v>
      </c>
    </row>
    <row r="340" spans="1:31" s="7" customFormat="1" ht="10" customHeight="1" x14ac:dyDescent="0.25"/>
    <row r="341" spans="1:31" s="7" customFormat="1" ht="16" customHeight="1" x14ac:dyDescent="0.25">
      <c r="A341" s="7" t="s">
        <v>212</v>
      </c>
    </row>
    <row r="342" spans="1:31" s="7" customFormat="1" ht="16" customHeight="1" x14ac:dyDescent="0.25">
      <c r="A342" s="7" t="s">
        <v>213</v>
      </c>
      <c r="P342" s="24" t="s">
        <v>214</v>
      </c>
      <c r="Q342" s="30">
        <v>3</v>
      </c>
      <c r="R342" s="30"/>
      <c r="S342" s="30"/>
      <c r="T342" s="7" t="s">
        <v>248</v>
      </c>
    </row>
    <row r="343" spans="1:31" s="7" customFormat="1" ht="16" customHeight="1" x14ac:dyDescent="0.25">
      <c r="A343" s="7" t="s">
        <v>221</v>
      </c>
      <c r="P343" s="24" t="s">
        <v>402</v>
      </c>
      <c r="Q343" s="69">
        <f>0.625</f>
        <v>0.625</v>
      </c>
      <c r="R343" s="69"/>
      <c r="S343" s="69"/>
      <c r="T343" s="7" t="s">
        <v>248</v>
      </c>
    </row>
    <row r="344" spans="1:31" s="7" customFormat="1" ht="16" customHeight="1" x14ac:dyDescent="0.25"/>
    <row r="345" spans="1:31" s="7" customFormat="1" ht="16" customHeight="1" x14ac:dyDescent="0.25">
      <c r="A345" s="7" t="s">
        <v>216</v>
      </c>
      <c r="P345" s="24" t="s">
        <v>403</v>
      </c>
      <c r="Q345" s="69">
        <f>MIN(I328:N331)/12</f>
        <v>706.0725000000001</v>
      </c>
      <c r="R345" s="69"/>
      <c r="S345" s="69"/>
      <c r="T345" s="7" t="s">
        <v>258</v>
      </c>
      <c r="AE345" s="24" t="s">
        <v>222</v>
      </c>
    </row>
    <row r="346" spans="1:31" s="7" customFormat="1" ht="16" customHeight="1" x14ac:dyDescent="0.25">
      <c r="A346" s="7" t="s">
        <v>217</v>
      </c>
      <c r="P346" s="24" t="s">
        <v>404</v>
      </c>
      <c r="Q346" s="69">
        <f>Q209/2</f>
        <v>5.1349999999999998</v>
      </c>
      <c r="R346" s="69"/>
      <c r="S346" s="69"/>
      <c r="T346" s="7" t="s">
        <v>405</v>
      </c>
      <c r="AE346" s="24" t="s">
        <v>219</v>
      </c>
    </row>
    <row r="347" spans="1:31" s="7" customFormat="1" ht="16" customHeight="1" x14ac:dyDescent="0.25">
      <c r="A347" s="7" t="s">
        <v>220</v>
      </c>
      <c r="P347" s="24" t="s">
        <v>406</v>
      </c>
      <c r="Q347" s="69">
        <f>Q40-Q342-Q343-VLOOKUP(Q182,BG5:BH15,2)-Q342-Q343</f>
        <v>27.75</v>
      </c>
      <c r="R347" s="69"/>
      <c r="S347" s="69"/>
      <c r="T347" s="7" t="s">
        <v>407</v>
      </c>
      <c r="AE347" s="24"/>
    </row>
    <row r="348" spans="1:31" s="7" customFormat="1" ht="16" customHeight="1" x14ac:dyDescent="0.25">
      <c r="A348" s="7" t="s">
        <v>218</v>
      </c>
      <c r="P348" s="24" t="s">
        <v>408</v>
      </c>
      <c r="Q348" s="69">
        <f>(Q40/2)+(Q347/PI())</f>
        <v>26.833099341600189</v>
      </c>
      <c r="R348" s="69"/>
      <c r="S348" s="69"/>
      <c r="T348" s="7" t="s">
        <v>248</v>
      </c>
      <c r="V348" s="152" t="s">
        <v>409</v>
      </c>
    </row>
    <row r="349" spans="1:31" s="7" customFormat="1" ht="10" customHeight="1" x14ac:dyDescent="0.25"/>
    <row r="350" spans="1:31" s="7" customFormat="1" ht="16" customHeight="1" x14ac:dyDescent="0.25">
      <c r="A350" s="13" t="s">
        <v>223</v>
      </c>
      <c r="AE350" s="24" t="s">
        <v>271</v>
      </c>
    </row>
    <row r="351" spans="1:31" s="7" customFormat="1" ht="16" customHeight="1" x14ac:dyDescent="0.25">
      <c r="A351" s="7" t="s">
        <v>224</v>
      </c>
      <c r="P351" s="24" t="s">
        <v>410</v>
      </c>
      <c r="Q351" s="153">
        <f>Q307*144</f>
        <v>1017.8760197630929</v>
      </c>
      <c r="R351" s="153"/>
      <c r="S351" s="153"/>
      <c r="T351" s="7" t="s">
        <v>405</v>
      </c>
    </row>
    <row r="352" spans="1:31" s="7" customFormat="1" ht="16" customHeight="1" x14ac:dyDescent="0.25">
      <c r="A352" s="7" t="s">
        <v>225</v>
      </c>
      <c r="P352" s="24" t="s">
        <v>411</v>
      </c>
      <c r="Q352" s="69">
        <f>Q308*12</f>
        <v>113.09733552923255</v>
      </c>
      <c r="R352" s="69"/>
      <c r="S352" s="69"/>
      <c r="T352" s="7" t="s">
        <v>248</v>
      </c>
    </row>
    <row r="353" spans="1:31" s="7" customFormat="1" ht="16" customHeight="1" x14ac:dyDescent="0.25">
      <c r="A353" s="7" t="s">
        <v>226</v>
      </c>
      <c r="P353" s="24" t="s">
        <v>412</v>
      </c>
      <c r="Q353" s="69">
        <v>0</v>
      </c>
      <c r="R353" s="69"/>
      <c r="S353" s="69"/>
      <c r="T353" s="7" t="s">
        <v>5</v>
      </c>
    </row>
    <row r="354" spans="1:31" s="7" customFormat="1" ht="16" customHeight="1" x14ac:dyDescent="0.25">
      <c r="P354" s="24"/>
      <c r="Q354" s="11"/>
      <c r="R354" s="11"/>
      <c r="S354" s="11"/>
      <c r="AE354" s="24" t="s">
        <v>272</v>
      </c>
    </row>
    <row r="355" spans="1:31" s="7" customFormat="1" ht="16" customHeight="1" x14ac:dyDescent="0.25">
      <c r="P355" s="24"/>
      <c r="Q355" s="11"/>
      <c r="R355" s="11"/>
      <c r="S355" s="11"/>
    </row>
    <row r="356" spans="1:31" s="7" customFormat="1" ht="16" customHeight="1" x14ac:dyDescent="0.25">
      <c r="P356" s="24"/>
      <c r="Q356" s="11"/>
      <c r="R356" s="11"/>
      <c r="S356" s="11"/>
      <c r="AE356" s="24" t="s">
        <v>274</v>
      </c>
    </row>
    <row r="357" spans="1:31" s="7" customFormat="1" ht="16" customHeight="1" x14ac:dyDescent="0.25">
      <c r="P357" s="24"/>
      <c r="Q357" s="11"/>
      <c r="R357" s="11"/>
      <c r="S357" s="11"/>
    </row>
    <row r="358" spans="1:31" s="7" customFormat="1" ht="16" customHeight="1" x14ac:dyDescent="0.25">
      <c r="P358" s="24" t="s">
        <v>275</v>
      </c>
      <c r="Q358" s="69">
        <f>IF(SQRT(1+(Q353/(0.126*1*SQRT(Q16))))&lt;=2,SQRT(1+(Q353/(0.126*1*SQRT(Q16)))),2)</f>
        <v>1</v>
      </c>
      <c r="R358" s="69"/>
      <c r="S358" s="69"/>
    </row>
    <row r="359" spans="1:31" s="7" customFormat="1" ht="16" customHeight="1" x14ac:dyDescent="0.25">
      <c r="A359" s="7" t="s">
        <v>223</v>
      </c>
      <c r="P359" s="24" t="s">
        <v>413</v>
      </c>
      <c r="Q359" s="69">
        <f>0.126*1*SQRT(Q16)*((Q351^2)/Q352)*SQRT(1+(Q353/(0.126*1*SQRT(Q16))))</f>
        <v>2308.5428128226949</v>
      </c>
      <c r="R359" s="69"/>
      <c r="S359" s="69"/>
      <c r="T359" s="7" t="s">
        <v>259</v>
      </c>
    </row>
    <row r="360" spans="1:31" s="7" customFormat="1" ht="16" customHeight="1" x14ac:dyDescent="0.25">
      <c r="P360" s="24" t="s">
        <v>414</v>
      </c>
      <c r="Q360" s="69">
        <f>0.25*0.9*Q359</f>
        <v>519.42213288510641</v>
      </c>
      <c r="R360" s="69"/>
      <c r="S360" s="69"/>
      <c r="T360" s="7" t="s">
        <v>259</v>
      </c>
    </row>
    <row r="361" spans="1:31" s="7" customFormat="1" ht="16" customHeight="1" x14ac:dyDescent="0.25">
      <c r="P361" s="24"/>
      <c r="Q361" s="69" t="str">
        <f>IF(Q360&lt;Q362,"&lt;","&gt;")</f>
        <v>&gt;</v>
      </c>
      <c r="R361" s="69"/>
      <c r="S361" s="69"/>
      <c r="AE361" s="24" t="s">
        <v>273</v>
      </c>
    </row>
    <row r="362" spans="1:31" s="7" customFormat="1" ht="16" customHeight="1" x14ac:dyDescent="0.25">
      <c r="P362" s="24" t="s">
        <v>415</v>
      </c>
      <c r="Q362" s="69">
        <f>Q336*12</f>
        <v>251.0782958433974</v>
      </c>
      <c r="R362" s="69"/>
      <c r="S362" s="69"/>
      <c r="T362" s="7" t="s">
        <v>259</v>
      </c>
    </row>
    <row r="363" spans="1:31" s="7" customFormat="1" ht="16" customHeight="1" x14ac:dyDescent="0.25">
      <c r="M363" s="11"/>
      <c r="N363" s="11"/>
      <c r="O363" s="11"/>
      <c r="P363" s="11"/>
      <c r="Q363" s="11" t="str">
        <f>IF(Q362&gt;Q360,"Torsional effects shall be investigated","Torsional effects can be neglected")</f>
        <v>Torsional effects can be neglected</v>
      </c>
      <c r="R363" s="11"/>
      <c r="S363" s="11"/>
      <c r="T363" s="11"/>
      <c r="U363" s="11"/>
      <c r="V363" s="11"/>
      <c r="W363" s="11"/>
      <c r="X363" s="11"/>
    </row>
    <row r="364" spans="1:31" s="7" customFormat="1" ht="10" customHeight="1" x14ac:dyDescent="0.25"/>
    <row r="365" spans="1:31" s="7" customFormat="1" ht="16" customHeight="1" x14ac:dyDescent="0.25">
      <c r="A365" s="7" t="s">
        <v>227</v>
      </c>
      <c r="P365" s="24" t="s">
        <v>397</v>
      </c>
      <c r="Q365" s="69">
        <f>Q335</f>
        <v>7.2610000000000001</v>
      </c>
      <c r="R365" s="69"/>
      <c r="S365" s="69"/>
      <c r="T365" s="7" t="s">
        <v>1</v>
      </c>
    </row>
    <row r="366" spans="1:31" s="7" customFormat="1" ht="16" customHeight="1" x14ac:dyDescent="0.25"/>
    <row r="367" spans="1:31" s="7" customFormat="1" ht="16" customHeight="1" x14ac:dyDescent="0.25">
      <c r="A367" s="13" t="s">
        <v>228</v>
      </c>
      <c r="AE367" s="24" t="s">
        <v>276</v>
      </c>
    </row>
    <row r="368" spans="1:31" s="7" customFormat="1" ht="16" customHeight="1" x14ac:dyDescent="0.25"/>
    <row r="369" spans="1:31" s="7" customFormat="1" ht="16" customHeight="1" x14ac:dyDescent="0.25">
      <c r="A369" s="7" t="s">
        <v>229</v>
      </c>
      <c r="P369" s="24" t="s">
        <v>416</v>
      </c>
      <c r="Q369" s="7" t="s">
        <v>230</v>
      </c>
    </row>
    <row r="370" spans="1:31" s="7" customFormat="1" ht="16" customHeight="1" x14ac:dyDescent="0.25"/>
    <row r="371" spans="1:31" s="7" customFormat="1" ht="16" customHeight="1" x14ac:dyDescent="0.3">
      <c r="P371" s="24" t="s">
        <v>417</v>
      </c>
      <c r="Q371" s="154">
        <f>(Q345*12)/(Q346*Q20)</f>
        <v>27.500389483933795</v>
      </c>
      <c r="R371" s="154"/>
      <c r="S371" s="154"/>
      <c r="T371" s="155" t="s">
        <v>248</v>
      </c>
      <c r="V371" s="7" t="str">
        <f>IF(Q371=MAX($Q$371:$S$373),"Maximum"," ")</f>
        <v>Maximum</v>
      </c>
    </row>
    <row r="372" spans="1:31" s="7" customFormat="1" ht="16" customHeight="1" x14ac:dyDescent="0.35">
      <c r="P372" s="156" t="s">
        <v>418</v>
      </c>
      <c r="Q372" s="154">
        <f>0.9*Q348</f>
        <v>24.149789407440171</v>
      </c>
      <c r="R372" s="154"/>
      <c r="S372" s="154"/>
      <c r="T372" s="155" t="s">
        <v>248</v>
      </c>
      <c r="V372" s="7" t="str">
        <f t="shared" ref="V372:V373" si="7">IF(Q372=MAX($Q$371:$S$373),"Maximum"," ")</f>
        <v xml:space="preserve"> </v>
      </c>
    </row>
    <row r="373" spans="1:31" s="7" customFormat="1" ht="16" customHeight="1" x14ac:dyDescent="0.3">
      <c r="P373" s="156" t="s">
        <v>231</v>
      </c>
      <c r="Q373" s="154">
        <f>0.72*Q40</f>
        <v>25.919999999999998</v>
      </c>
      <c r="R373" s="154"/>
      <c r="S373" s="154"/>
      <c r="T373" s="155" t="s">
        <v>248</v>
      </c>
      <c r="V373" s="7" t="str">
        <f t="shared" si="7"/>
        <v xml:space="preserve"> </v>
      </c>
    </row>
    <row r="374" spans="1:31" s="7" customFormat="1" ht="16" customHeight="1" x14ac:dyDescent="0.3">
      <c r="P374" s="156"/>
      <c r="Q374" s="157"/>
      <c r="R374" s="157"/>
      <c r="S374" s="157"/>
      <c r="T374" s="155"/>
    </row>
    <row r="375" spans="1:31" s="7" customFormat="1" ht="16" customHeight="1" x14ac:dyDescent="0.3">
      <c r="P375" s="24" t="s">
        <v>416</v>
      </c>
      <c r="Q375" s="154">
        <f>MAX(Q371:S373)</f>
        <v>27.500389483933795</v>
      </c>
      <c r="R375" s="154"/>
      <c r="S375" s="154"/>
      <c r="T375" s="155" t="s">
        <v>248</v>
      </c>
    </row>
    <row r="376" spans="1:31" s="7" customFormat="1" ht="16" customHeight="1" x14ac:dyDescent="0.25"/>
    <row r="377" spans="1:31" s="7" customFormat="1" ht="16" customHeight="1" x14ac:dyDescent="0.3">
      <c r="A377" s="7" t="s">
        <v>232</v>
      </c>
      <c r="P377" s="24" t="s">
        <v>419</v>
      </c>
      <c r="Q377" s="158">
        <f>Q335/(Q339*Q40*Q375)</f>
        <v>8.1491550656957405E-3</v>
      </c>
      <c r="R377" s="158"/>
      <c r="S377" s="158"/>
      <c r="T377" s="155" t="s">
        <v>5</v>
      </c>
      <c r="AE377" s="24" t="s">
        <v>277</v>
      </c>
    </row>
    <row r="378" spans="1:31" s="7" customFormat="1" ht="16" customHeight="1" x14ac:dyDescent="0.3">
      <c r="P378" s="24"/>
      <c r="Q378" s="159"/>
      <c r="R378" s="159"/>
      <c r="S378" s="159"/>
      <c r="T378" s="155"/>
      <c r="AE378" s="24"/>
    </row>
    <row r="379" spans="1:31" s="7" customFormat="1" ht="16" customHeight="1" x14ac:dyDescent="0.25">
      <c r="A379" s="13" t="s">
        <v>242</v>
      </c>
    </row>
    <row r="380" spans="1:31" s="7" customFormat="1" ht="16" customHeight="1" x14ac:dyDescent="0.25">
      <c r="A380" s="7" t="s">
        <v>243</v>
      </c>
      <c r="P380" s="24" t="s">
        <v>420</v>
      </c>
      <c r="Q380" s="7" t="s">
        <v>421</v>
      </c>
      <c r="AE380" s="24" t="s">
        <v>278</v>
      </c>
    </row>
    <row r="381" spans="1:31" s="7" customFormat="1" ht="16" customHeight="1" x14ac:dyDescent="0.25">
      <c r="P381" s="24" t="s">
        <v>422</v>
      </c>
      <c r="Q381" s="69">
        <f>Q365</f>
        <v>7.2610000000000001</v>
      </c>
      <c r="R381" s="69"/>
      <c r="S381" s="69"/>
      <c r="T381" s="7" t="s">
        <v>1</v>
      </c>
      <c r="AE381" s="24"/>
    </row>
    <row r="382" spans="1:31" s="7" customFormat="1" ht="16" customHeight="1" x14ac:dyDescent="0.25">
      <c r="P382" s="24"/>
      <c r="Q382" s="69" t="str">
        <f>IF(Q381&lt;Q383,"&lt;","&gt;")</f>
        <v>&lt;</v>
      </c>
      <c r="R382" s="69"/>
      <c r="S382" s="69"/>
      <c r="AE382" s="24"/>
    </row>
    <row r="383" spans="1:31" s="7" customFormat="1" ht="16" customHeight="1" x14ac:dyDescent="0.25">
      <c r="P383" s="24" t="s">
        <v>423</v>
      </c>
      <c r="Q383" s="69">
        <f>0.5*Q339*Q425</f>
        <v>115.14570216355719</v>
      </c>
      <c r="R383" s="69"/>
      <c r="S383" s="69"/>
      <c r="T383" s="7" t="s">
        <v>1</v>
      </c>
      <c r="AE383" s="24"/>
    </row>
    <row r="384" spans="1:31" s="7" customFormat="1" ht="16" customHeight="1" x14ac:dyDescent="0.25">
      <c r="L384" s="11"/>
      <c r="M384" s="11"/>
      <c r="N384" s="11"/>
      <c r="P384" s="11"/>
      <c r="Q384" s="11"/>
      <c r="R384" s="11" t="str">
        <f>IF(Q381&lt;Q383,"Transverse reinforcement not necessary","Transverse reinforcement is required")</f>
        <v>Transverse reinforcement not necessary</v>
      </c>
      <c r="S384" s="11"/>
      <c r="T384" s="11"/>
      <c r="U384" s="11"/>
      <c r="V384" s="11"/>
      <c r="W384" s="11"/>
      <c r="X384" s="11"/>
      <c r="AE384" s="24"/>
    </row>
    <row r="385" spans="1:33" s="7" customFormat="1" ht="16" customHeight="1" x14ac:dyDescent="0.25">
      <c r="A385" s="13"/>
    </row>
    <row r="386" spans="1:33" s="7" customFormat="1" ht="16" customHeight="1" x14ac:dyDescent="0.35">
      <c r="A386" s="7" t="s">
        <v>236</v>
      </c>
      <c r="P386" s="160" t="s">
        <v>424</v>
      </c>
      <c r="AE386" s="24" t="s">
        <v>279</v>
      </c>
    </row>
    <row r="387" spans="1:33" s="7" customFormat="1" ht="16" customHeight="1" x14ac:dyDescent="0.25"/>
    <row r="388" spans="1:33" s="7" customFormat="1" ht="16" customHeight="1" x14ac:dyDescent="0.35">
      <c r="P388" s="160" t="s">
        <v>424</v>
      </c>
      <c r="Q388" s="69">
        <f>0.0316*1*SQRT(Q16)*((Q40*Q186)/Q20)</f>
        <v>0.45504000000000006</v>
      </c>
      <c r="R388" s="69"/>
      <c r="S388" s="69"/>
      <c r="T388" s="7" t="s">
        <v>405</v>
      </c>
    </row>
    <row r="389" spans="1:33" s="7" customFormat="1" ht="16" customHeight="1" x14ac:dyDescent="0.3">
      <c r="Q389" s="161" t="str">
        <f>IF(Q388&lt;Q390,"&lt;","&gt;")</f>
        <v>&lt;</v>
      </c>
      <c r="R389" s="161"/>
      <c r="S389" s="161"/>
    </row>
    <row r="390" spans="1:33" s="7" customFormat="1" ht="16" customHeight="1" x14ac:dyDescent="0.35">
      <c r="P390" s="160" t="s">
        <v>425</v>
      </c>
      <c r="Q390" s="69">
        <f>VLOOKUP(Q185,BG5:BI15,3)*2*12/Q186</f>
        <v>0.62</v>
      </c>
      <c r="R390" s="69"/>
      <c r="S390" s="69"/>
      <c r="T390" s="7" t="s">
        <v>405</v>
      </c>
    </row>
    <row r="391" spans="1:33" s="7" customFormat="1" ht="16" customHeight="1" x14ac:dyDescent="0.25">
      <c r="O391" s="69" t="str">
        <f>IF(Q388&lt;Q390,"OK!","NO GOOD!")</f>
        <v>OK!</v>
      </c>
      <c r="P391" s="69"/>
      <c r="Q391" s="69"/>
      <c r="R391" s="69"/>
      <c r="S391" s="69"/>
      <c r="T391" s="69"/>
      <c r="U391" s="69"/>
    </row>
    <row r="392" spans="1:33" s="7" customFormat="1" ht="16" customHeight="1" x14ac:dyDescent="0.25">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row>
    <row r="393" spans="1:33" s="7" customFormat="1" ht="16" customHeight="1" x14ac:dyDescent="0.25">
      <c r="A393" s="34" t="s">
        <v>244</v>
      </c>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162" t="s">
        <v>280</v>
      </c>
      <c r="AF393" s="34"/>
      <c r="AG393" s="34"/>
    </row>
    <row r="394" spans="1:33" s="7" customFormat="1" ht="16" customHeight="1" x14ac:dyDescent="0.25">
      <c r="A394" s="34"/>
      <c r="B394" s="34"/>
      <c r="C394" s="34"/>
      <c r="D394" s="34"/>
      <c r="E394" s="34"/>
      <c r="F394" s="34"/>
      <c r="G394" s="34"/>
      <c r="H394" s="34"/>
      <c r="I394" s="34"/>
      <c r="J394" s="34"/>
      <c r="K394" s="34"/>
      <c r="L394" s="34"/>
      <c r="M394" s="34"/>
      <c r="N394" s="34"/>
      <c r="O394" s="34"/>
      <c r="P394" s="162" t="s">
        <v>426</v>
      </c>
      <c r="Q394" s="163">
        <f>Q377</f>
        <v>8.1491550656957405E-3</v>
      </c>
      <c r="R394" s="163"/>
      <c r="S394" s="163"/>
      <c r="T394" s="34" t="s">
        <v>5</v>
      </c>
      <c r="U394" s="34"/>
      <c r="V394" s="34"/>
      <c r="W394" s="34"/>
      <c r="X394" s="34"/>
      <c r="Y394" s="34"/>
      <c r="Z394" s="34"/>
      <c r="AA394" s="34"/>
      <c r="AB394" s="34"/>
      <c r="AC394" s="34"/>
      <c r="AD394" s="34"/>
      <c r="AE394" s="162"/>
      <c r="AF394" s="34"/>
      <c r="AG394" s="34"/>
    </row>
    <row r="395" spans="1:33" s="7" customFormat="1" ht="16" customHeight="1" x14ac:dyDescent="0.25">
      <c r="A395" s="34"/>
      <c r="B395" s="34"/>
      <c r="C395" s="34"/>
      <c r="D395" s="34"/>
      <c r="E395" s="34"/>
      <c r="F395" s="34"/>
      <c r="G395" s="34"/>
      <c r="H395" s="34"/>
      <c r="I395" s="34"/>
      <c r="J395" s="34"/>
      <c r="K395" s="34"/>
      <c r="L395" s="34"/>
      <c r="M395" s="34"/>
      <c r="N395" s="34"/>
      <c r="O395" s="34"/>
      <c r="P395" s="162"/>
      <c r="Q395" s="163" t="str">
        <f>IF(Q388&lt;Q390,"&lt;","&gt;")</f>
        <v>&lt;</v>
      </c>
      <c r="R395" s="163"/>
      <c r="S395" s="163"/>
      <c r="T395" s="34"/>
      <c r="U395" s="34"/>
      <c r="V395" s="34"/>
      <c r="W395" s="34"/>
      <c r="X395" s="34"/>
      <c r="Y395" s="34"/>
      <c r="Z395" s="34"/>
      <c r="AA395" s="34"/>
      <c r="AB395" s="34"/>
      <c r="AC395" s="34"/>
      <c r="AD395" s="34"/>
      <c r="AE395" s="162"/>
      <c r="AF395" s="34"/>
      <c r="AG395" s="34"/>
    </row>
    <row r="396" spans="1:33" s="7" customFormat="1" ht="16" customHeight="1" x14ac:dyDescent="0.25">
      <c r="A396" s="34"/>
      <c r="B396" s="34"/>
      <c r="C396" s="34"/>
      <c r="D396" s="34"/>
      <c r="E396" s="34"/>
      <c r="F396" s="34"/>
      <c r="G396" s="34"/>
      <c r="H396" s="34"/>
      <c r="I396" s="34"/>
      <c r="J396" s="34"/>
      <c r="K396" s="34"/>
      <c r="L396" s="34"/>
      <c r="M396" s="34"/>
      <c r="N396" s="34"/>
      <c r="O396" s="34"/>
      <c r="P396" s="162" t="s">
        <v>427</v>
      </c>
      <c r="Q396" s="163">
        <f>0.125*Q16</f>
        <v>0.5</v>
      </c>
      <c r="R396" s="163"/>
      <c r="S396" s="163"/>
      <c r="T396" s="34" t="s">
        <v>5</v>
      </c>
      <c r="U396" s="34"/>
      <c r="V396" s="34"/>
      <c r="W396" s="34"/>
      <c r="X396" s="34"/>
      <c r="Y396" s="34"/>
      <c r="Z396" s="34"/>
      <c r="AA396" s="34"/>
      <c r="AB396" s="34"/>
      <c r="AC396" s="34"/>
      <c r="AD396" s="34"/>
      <c r="AE396" s="162"/>
      <c r="AF396" s="34"/>
      <c r="AG396" s="34"/>
    </row>
    <row r="397" spans="1:33" s="7" customFormat="1" ht="16" customHeight="1" x14ac:dyDescent="0.25">
      <c r="A397" s="34" t="s">
        <v>428</v>
      </c>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162" t="s">
        <v>281</v>
      </c>
      <c r="AF397" s="34"/>
      <c r="AG397" s="34"/>
    </row>
    <row r="398" spans="1:33" s="7" customFormat="1" ht="16" customHeight="1" x14ac:dyDescent="0.25">
      <c r="A398" s="7" t="s">
        <v>429</v>
      </c>
      <c r="AE398" s="162" t="s">
        <v>282</v>
      </c>
    </row>
    <row r="399" spans="1:33" s="7" customFormat="1" ht="16" customHeight="1" x14ac:dyDescent="0.25"/>
    <row r="400" spans="1:33" s="7" customFormat="1" ht="16" customHeight="1" x14ac:dyDescent="0.25">
      <c r="P400" s="162" t="s">
        <v>430</v>
      </c>
      <c r="Q400" s="69">
        <f>IF(Q394&lt;Q396,MIN(0.8*Q375,24),MIN(0.4*Q375,12))</f>
        <v>22.000311587147038</v>
      </c>
      <c r="R400" s="69"/>
      <c r="S400" s="69"/>
      <c r="T400" s="7" t="s">
        <v>248</v>
      </c>
    </row>
    <row r="401" spans="1:31" s="7" customFormat="1" ht="16" customHeight="1" x14ac:dyDescent="0.3">
      <c r="Q401" s="161" t="str">
        <f>IF(Q400&lt;Q402,"&lt;","&gt;")</f>
        <v>&gt;</v>
      </c>
      <c r="R401" s="161"/>
      <c r="S401" s="161"/>
    </row>
    <row r="402" spans="1:31" s="7" customFormat="1" ht="16" customHeight="1" x14ac:dyDescent="0.35">
      <c r="P402" s="160" t="s">
        <v>431</v>
      </c>
      <c r="Q402" s="69">
        <f>Q186</f>
        <v>12</v>
      </c>
      <c r="R402" s="69"/>
      <c r="S402" s="69"/>
      <c r="T402" s="7" t="s">
        <v>405</v>
      </c>
    </row>
    <row r="403" spans="1:31" s="7" customFormat="1" ht="16" customHeight="1" x14ac:dyDescent="0.25">
      <c r="O403" s="69" t="str">
        <f>IF(Q400&gt;Q402,"OK!","Revise spacing!")</f>
        <v>OK!</v>
      </c>
      <c r="P403" s="69"/>
      <c r="Q403" s="69"/>
      <c r="R403" s="69"/>
      <c r="S403" s="69"/>
      <c r="T403" s="69"/>
      <c r="U403" s="69"/>
    </row>
    <row r="404" spans="1:31" s="7" customFormat="1" ht="16" customHeight="1" x14ac:dyDescent="0.25"/>
    <row r="405" spans="1:31" s="7" customFormat="1" ht="16" customHeight="1" x14ac:dyDescent="0.25">
      <c r="A405" s="13" t="s">
        <v>234</v>
      </c>
      <c r="AE405" s="24" t="s">
        <v>283</v>
      </c>
    </row>
    <row r="406" spans="1:31" s="7" customFormat="1" ht="16" customHeight="1" x14ac:dyDescent="0.25"/>
    <row r="407" spans="1:31" s="7" customFormat="1" ht="16" customHeight="1" x14ac:dyDescent="0.25">
      <c r="A407" s="7" t="s">
        <v>235</v>
      </c>
      <c r="P407" s="32" t="s">
        <v>432</v>
      </c>
      <c r="Q407" s="69">
        <f>0.25*Q16*Q375*Q40</f>
        <v>990.01402142161658</v>
      </c>
      <c r="R407" s="69"/>
      <c r="S407" s="69"/>
      <c r="T407" s="7" t="s">
        <v>1</v>
      </c>
      <c r="AE407" s="162" t="s">
        <v>284</v>
      </c>
    </row>
    <row r="408" spans="1:31" s="7" customFormat="1" ht="16" customHeight="1" x14ac:dyDescent="0.25">
      <c r="P408" s="24" t="s">
        <v>433</v>
      </c>
      <c r="Q408" s="69">
        <f>Q407*Q339</f>
        <v>891.01261927945495</v>
      </c>
      <c r="R408" s="69"/>
      <c r="S408" s="69"/>
      <c r="T408" s="7" t="s">
        <v>1</v>
      </c>
    </row>
    <row r="409" spans="1:31" s="7" customFormat="1" ht="16" customHeight="1" x14ac:dyDescent="0.25">
      <c r="Q409" s="69" t="str">
        <f>IF(Q408&lt;Q410,"&lt;","&gt;")</f>
        <v>&gt;</v>
      </c>
      <c r="R409" s="69"/>
      <c r="S409" s="69"/>
    </row>
    <row r="410" spans="1:31" s="7" customFormat="1" ht="16" customHeight="1" x14ac:dyDescent="0.25">
      <c r="P410" s="24" t="s">
        <v>397</v>
      </c>
      <c r="Q410" s="69">
        <f>Q335</f>
        <v>7.2610000000000001</v>
      </c>
      <c r="R410" s="69"/>
      <c r="S410" s="69"/>
      <c r="T410" s="7" t="s">
        <v>1</v>
      </c>
    </row>
    <row r="411" spans="1:31" s="7" customFormat="1" ht="16" customHeight="1" x14ac:dyDescent="0.25">
      <c r="Q411" s="69" t="str">
        <f>IF(Q408&gt;Q410,"OK!","Resize Section!")</f>
        <v>OK!</v>
      </c>
      <c r="R411" s="69"/>
      <c r="S411" s="69"/>
    </row>
    <row r="412" spans="1:31" s="7" customFormat="1" ht="16" customHeight="1" x14ac:dyDescent="0.25">
      <c r="Q412" s="11"/>
      <c r="R412" s="11"/>
      <c r="S412" s="11"/>
    </row>
    <row r="413" spans="1:31" s="7" customFormat="1" ht="16" customHeight="1" x14ac:dyDescent="0.25">
      <c r="Q413" s="11"/>
      <c r="R413" s="11"/>
      <c r="S413" s="11"/>
      <c r="AE413" s="24" t="s">
        <v>285</v>
      </c>
    </row>
    <row r="414" spans="1:31" s="7" customFormat="1" ht="16" customHeight="1" x14ac:dyDescent="0.25"/>
    <row r="415" spans="1:31" s="7" customFormat="1" ht="16" customHeight="1" x14ac:dyDescent="0.25">
      <c r="A415" s="7" t="s">
        <v>263</v>
      </c>
      <c r="P415" s="24" t="s">
        <v>434</v>
      </c>
      <c r="Q415" s="158">
        <f>(((Q337*12)/Q375)+(0.5*Q338)+Q410)/(29000*Q346)</f>
        <v>2.3162644143200328E-4</v>
      </c>
      <c r="R415" s="158"/>
      <c r="S415" s="158"/>
    </row>
    <row r="416" spans="1:31" s="7" customFormat="1" ht="16" customHeight="1" x14ac:dyDescent="0.25"/>
    <row r="417" spans="1:33" s="7" customFormat="1" ht="16" customHeight="1" x14ac:dyDescent="0.25">
      <c r="A417" s="164" t="s">
        <v>286</v>
      </c>
      <c r="B417" s="164"/>
      <c r="C417" s="164"/>
      <c r="D417" s="164"/>
      <c r="E417" s="164"/>
      <c r="F417" s="164"/>
      <c r="G417" s="164"/>
      <c r="H417" s="164"/>
      <c r="I417" s="164"/>
      <c r="J417" s="164"/>
      <c r="K417" s="164"/>
      <c r="L417" s="164"/>
      <c r="M417" s="164"/>
      <c r="N417" s="164"/>
      <c r="O417" s="164"/>
      <c r="P417" s="164"/>
      <c r="Q417" s="164"/>
      <c r="R417" s="164"/>
      <c r="S417" s="164"/>
      <c r="T417" s="164"/>
      <c r="U417" s="164"/>
      <c r="V417" s="164"/>
      <c r="W417" s="164"/>
      <c r="X417" s="164"/>
      <c r="Y417" s="164"/>
      <c r="Z417" s="164"/>
      <c r="AA417" s="164"/>
      <c r="AB417" s="164"/>
      <c r="AC417" s="164"/>
      <c r="AD417" s="34"/>
      <c r="AE417" s="34"/>
      <c r="AF417" s="34"/>
      <c r="AG417" s="34"/>
    </row>
    <row r="418" spans="1:33" s="7" customFormat="1" ht="16" customHeight="1" x14ac:dyDescent="0.25">
      <c r="A418" s="164"/>
      <c r="B418" s="164"/>
      <c r="C418" s="164"/>
      <c r="D418" s="164"/>
      <c r="E418" s="164"/>
      <c r="F418" s="164"/>
      <c r="G418" s="164"/>
      <c r="H418" s="164"/>
      <c r="I418" s="164"/>
      <c r="J418" s="164"/>
      <c r="K418" s="164"/>
      <c r="L418" s="164"/>
      <c r="M418" s="164"/>
      <c r="N418" s="164"/>
      <c r="O418" s="164"/>
      <c r="P418" s="164"/>
      <c r="Q418" s="164"/>
      <c r="R418" s="164"/>
      <c r="S418" s="164"/>
      <c r="T418" s="164"/>
      <c r="U418" s="164"/>
      <c r="V418" s="164"/>
      <c r="W418" s="164"/>
      <c r="X418" s="164"/>
      <c r="Y418" s="164"/>
      <c r="Z418" s="164"/>
      <c r="AA418" s="164"/>
      <c r="AB418" s="164"/>
      <c r="AC418" s="164"/>
      <c r="AD418" s="34"/>
      <c r="AE418" s="34"/>
      <c r="AF418" s="34"/>
      <c r="AG418" s="34"/>
    </row>
    <row r="419" spans="1:33" s="7" customFormat="1" ht="16" customHeight="1" x14ac:dyDescent="0.25"/>
    <row r="420" spans="1:33" s="7" customFormat="1" ht="16" customHeight="1" x14ac:dyDescent="0.25">
      <c r="AE420" s="24" t="s">
        <v>287</v>
      </c>
    </row>
    <row r="421" spans="1:33" s="7" customFormat="1" ht="16" customHeight="1" x14ac:dyDescent="0.25">
      <c r="P421" s="24" t="s">
        <v>435</v>
      </c>
      <c r="Q421" s="69">
        <f>4.8/(1+750*Q415)</f>
        <v>4.0895619831248826</v>
      </c>
      <c r="R421" s="69"/>
      <c r="S421" s="69"/>
    </row>
    <row r="422" spans="1:33" s="7" customFormat="1" ht="16" customHeight="1" x14ac:dyDescent="0.25">
      <c r="P422" s="24" t="s">
        <v>436</v>
      </c>
      <c r="Q422" s="69">
        <f>29+3500*Q415</f>
        <v>29.81069254501201</v>
      </c>
      <c r="R422" s="69"/>
      <c r="S422" s="69"/>
      <c r="AE422" s="24" t="s">
        <v>288</v>
      </c>
    </row>
    <row r="423" spans="1:33" s="7" customFormat="1" ht="16" customHeight="1" x14ac:dyDescent="0.25"/>
    <row r="424" spans="1:33" s="7" customFormat="1" ht="16" customHeight="1" x14ac:dyDescent="0.25">
      <c r="A424" s="7" t="s">
        <v>241</v>
      </c>
      <c r="P424" s="24"/>
      <c r="Q424" s="69"/>
      <c r="R424" s="69"/>
      <c r="S424" s="69"/>
      <c r="AE424" s="24" t="s">
        <v>289</v>
      </c>
    </row>
    <row r="425" spans="1:33" s="7" customFormat="1" ht="16" customHeight="1" x14ac:dyDescent="0.25">
      <c r="P425" s="24" t="s">
        <v>437</v>
      </c>
      <c r="Q425" s="69">
        <f>0.0316*Q421*1*SQRT(Q16)*Q40*Q375</f>
        <v>255.87933814123821</v>
      </c>
      <c r="R425" s="69"/>
      <c r="S425" s="69"/>
      <c r="T425" s="7" t="s">
        <v>1</v>
      </c>
    </row>
    <row r="426" spans="1:33" s="7" customFormat="1" ht="16" customHeight="1" x14ac:dyDescent="0.25">
      <c r="Q426" s="69" t="str">
        <f>IF(Q425&lt;Q427,"&lt;","&gt;")</f>
        <v>&gt;</v>
      </c>
      <c r="R426" s="69"/>
      <c r="S426" s="69"/>
    </row>
    <row r="427" spans="1:33" s="7" customFormat="1" ht="16" customHeight="1" x14ac:dyDescent="0.25">
      <c r="P427" s="24" t="s">
        <v>397</v>
      </c>
      <c r="Q427" s="69">
        <f>Q410</f>
        <v>7.2610000000000001</v>
      </c>
      <c r="R427" s="69"/>
      <c r="S427" s="69"/>
      <c r="T427" s="7" t="s">
        <v>1</v>
      </c>
    </row>
    <row r="428" spans="1:33" s="7" customFormat="1" ht="16" customHeight="1" x14ac:dyDescent="0.25">
      <c r="Q428" s="69" t="str">
        <f>IF(Q425&gt;Q427,"OK!","Resize Section!")</f>
        <v>OK!</v>
      </c>
      <c r="R428" s="69"/>
      <c r="S428" s="69"/>
    </row>
    <row r="429" spans="1:33" s="7" customFormat="1" ht="16" customHeight="1" x14ac:dyDescent="0.25"/>
    <row r="430" spans="1:33" s="7" customFormat="1" ht="16" customHeight="1" x14ac:dyDescent="0.25"/>
    <row r="431" spans="1:33" s="7" customFormat="1" ht="16" customHeight="1" x14ac:dyDescent="0.25"/>
    <row r="432" spans="1:33" s="7" customFormat="1" ht="16" customHeight="1" x14ac:dyDescent="0.25">
      <c r="A432" s="13" t="s">
        <v>291</v>
      </c>
    </row>
    <row r="433" spans="1:52" ht="16" customHeight="1" x14ac:dyDescent="0.25">
      <c r="A433" s="142" t="s">
        <v>300</v>
      </c>
      <c r="B433" s="142"/>
      <c r="C433" s="142"/>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c r="AA433" s="142"/>
      <c r="AB433" s="142"/>
      <c r="AC433" s="142"/>
      <c r="AD433" s="142"/>
      <c r="AP433" s="7"/>
    </row>
    <row r="434" spans="1:52" ht="16" customHeight="1" x14ac:dyDescent="0.25">
      <c r="A434" s="142"/>
      <c r="B434" s="142"/>
      <c r="C434" s="142"/>
      <c r="D434" s="142"/>
      <c r="E434" s="142"/>
      <c r="F434" s="142"/>
      <c r="G434" s="142"/>
      <c r="H434" s="142"/>
      <c r="I434" s="142"/>
      <c r="J434" s="142"/>
      <c r="K434" s="142"/>
      <c r="L434" s="142"/>
      <c r="M434" s="142"/>
      <c r="N434" s="142"/>
      <c r="O434" s="142"/>
      <c r="P434" s="142"/>
      <c r="Q434" s="142"/>
      <c r="R434" s="142"/>
      <c r="S434" s="142"/>
      <c r="T434" s="142"/>
      <c r="U434" s="142"/>
      <c r="V434" s="142"/>
      <c r="W434" s="142"/>
      <c r="X434" s="142"/>
      <c r="Y434" s="142"/>
      <c r="Z434" s="142"/>
      <c r="AA434" s="142"/>
      <c r="AB434" s="142"/>
      <c r="AC434" s="142"/>
      <c r="AD434" s="142"/>
      <c r="AP434" s="7"/>
    </row>
    <row r="435" spans="1:52" ht="16" customHeight="1" x14ac:dyDescent="0.25">
      <c r="A435" s="142"/>
      <c r="B435" s="142"/>
      <c r="C435" s="142"/>
      <c r="D435" s="142"/>
      <c r="E435" s="142"/>
      <c r="F435" s="142"/>
      <c r="G435" s="142"/>
      <c r="H435" s="142"/>
      <c r="I435" s="142"/>
      <c r="J435" s="142"/>
      <c r="K435" s="142"/>
      <c r="L435" s="142"/>
      <c r="M435" s="142"/>
      <c r="N435" s="142"/>
      <c r="O435" s="142"/>
      <c r="P435" s="142"/>
      <c r="Q435" s="142"/>
      <c r="R435" s="142"/>
      <c r="S435" s="142"/>
      <c r="T435" s="142"/>
      <c r="U435" s="142"/>
      <c r="V435" s="142"/>
      <c r="W435" s="142"/>
      <c r="X435" s="142"/>
      <c r="Y435" s="142"/>
      <c r="Z435" s="142"/>
      <c r="AA435" s="142"/>
      <c r="AB435" s="142"/>
      <c r="AC435" s="142"/>
      <c r="AD435" s="142"/>
      <c r="AP435" s="7"/>
    </row>
    <row r="436" spans="1:52" ht="16" customHeight="1" x14ac:dyDescent="0.25">
      <c r="A436" s="13"/>
      <c r="AP436" s="7"/>
    </row>
    <row r="437" spans="1:52" ht="16" customHeight="1" x14ac:dyDescent="0.25">
      <c r="A437" s="165" t="s">
        <v>292</v>
      </c>
      <c r="AP437" s="7"/>
    </row>
    <row r="438" spans="1:52" ht="16" customHeight="1" x14ac:dyDescent="0.25">
      <c r="A438" s="142" t="s">
        <v>299</v>
      </c>
      <c r="B438" s="142"/>
      <c r="C438" s="142"/>
      <c r="D438" s="142"/>
      <c r="E438" s="142"/>
      <c r="F438" s="142"/>
      <c r="G438" s="142"/>
      <c r="H438" s="142"/>
      <c r="I438" s="142"/>
      <c r="J438" s="142"/>
      <c r="K438" s="142"/>
      <c r="L438" s="142"/>
      <c r="M438" s="142"/>
      <c r="N438" s="142"/>
      <c r="O438" s="142"/>
      <c r="P438" s="142"/>
      <c r="Q438" s="142"/>
      <c r="R438" s="142"/>
      <c r="S438" s="142"/>
      <c r="T438" s="142"/>
      <c r="U438" s="142"/>
      <c r="V438" s="142"/>
      <c r="W438" s="142"/>
      <c r="X438" s="142"/>
      <c r="Y438" s="142"/>
      <c r="Z438" s="142"/>
      <c r="AA438" s="142"/>
      <c r="AB438" s="142"/>
      <c r="AC438" s="142"/>
      <c r="AD438" s="142"/>
      <c r="AH438" s="118"/>
      <c r="AP438" s="7"/>
      <c r="AW438" s="24"/>
      <c r="AX438" s="52"/>
      <c r="AY438" s="52"/>
      <c r="AZ438" s="52"/>
    </row>
    <row r="439" spans="1:52" ht="16" customHeight="1" x14ac:dyDescent="0.25">
      <c r="A439" s="142"/>
      <c r="B439" s="142"/>
      <c r="C439" s="142"/>
      <c r="D439" s="142"/>
      <c r="E439" s="142"/>
      <c r="F439" s="142"/>
      <c r="G439" s="142"/>
      <c r="H439" s="142"/>
      <c r="I439" s="142"/>
      <c r="J439" s="142"/>
      <c r="K439" s="142"/>
      <c r="L439" s="142"/>
      <c r="M439" s="142"/>
      <c r="N439" s="142"/>
      <c r="O439" s="142"/>
      <c r="P439" s="142"/>
      <c r="Q439" s="142"/>
      <c r="R439" s="142"/>
      <c r="S439" s="142"/>
      <c r="T439" s="142"/>
      <c r="U439" s="142"/>
      <c r="V439" s="142"/>
      <c r="W439" s="142"/>
      <c r="X439" s="142"/>
      <c r="Y439" s="142"/>
      <c r="Z439" s="142"/>
      <c r="AA439" s="142"/>
      <c r="AB439" s="142"/>
      <c r="AC439" s="142"/>
      <c r="AD439" s="142"/>
      <c r="AE439" s="34"/>
      <c r="AF439" s="34"/>
      <c r="AG439" s="34"/>
      <c r="AP439" s="7"/>
      <c r="AW439" s="24"/>
      <c r="AX439" s="52"/>
      <c r="AY439" s="52"/>
      <c r="AZ439" s="52"/>
    </row>
    <row r="440" spans="1:52" ht="16" customHeight="1" x14ac:dyDescent="0.25">
      <c r="A440" s="142"/>
      <c r="B440" s="142"/>
      <c r="C440" s="142"/>
      <c r="D440" s="142"/>
      <c r="E440" s="142"/>
      <c r="F440" s="142"/>
      <c r="G440" s="142"/>
      <c r="H440" s="142"/>
      <c r="I440" s="142"/>
      <c r="J440" s="142"/>
      <c r="K440" s="142"/>
      <c r="L440" s="142"/>
      <c r="M440" s="142"/>
      <c r="N440" s="142"/>
      <c r="O440" s="142"/>
      <c r="P440" s="142"/>
      <c r="Q440" s="142"/>
      <c r="R440" s="142"/>
      <c r="S440" s="142"/>
      <c r="T440" s="142"/>
      <c r="U440" s="142"/>
      <c r="V440" s="142"/>
      <c r="W440" s="142"/>
      <c r="X440" s="142"/>
      <c r="Y440" s="142"/>
      <c r="Z440" s="142"/>
      <c r="AA440" s="142"/>
      <c r="AB440" s="142"/>
      <c r="AC440" s="142"/>
      <c r="AD440" s="142"/>
      <c r="AE440" s="34"/>
      <c r="AF440" s="34"/>
      <c r="AG440" s="34"/>
      <c r="AH440" s="118"/>
      <c r="AP440" s="7"/>
      <c r="AW440" s="24"/>
      <c r="AX440" s="52"/>
      <c r="AY440" s="52"/>
      <c r="AZ440" s="52"/>
    </row>
    <row r="441" spans="1:52" ht="16" customHeight="1" x14ac:dyDescent="0.25">
      <c r="A441" s="166"/>
      <c r="B441" s="166"/>
      <c r="C441" s="166"/>
      <c r="D441" s="166"/>
      <c r="E441" s="166"/>
      <c r="F441" s="166"/>
      <c r="G441" s="166"/>
      <c r="H441" s="166"/>
      <c r="I441" s="166"/>
      <c r="J441" s="166"/>
      <c r="K441" s="166"/>
      <c r="L441" s="166"/>
      <c r="M441" s="166"/>
      <c r="N441" s="166"/>
      <c r="O441" s="166"/>
      <c r="P441" s="166"/>
      <c r="Q441" s="166"/>
      <c r="R441" s="166"/>
      <c r="S441" s="166"/>
      <c r="T441" s="166"/>
      <c r="U441" s="166"/>
      <c r="V441" s="166"/>
      <c r="W441" s="166"/>
      <c r="X441" s="166"/>
      <c r="Y441" s="166"/>
      <c r="Z441" s="166"/>
      <c r="AA441" s="166"/>
      <c r="AB441" s="166"/>
      <c r="AC441" s="166"/>
      <c r="AD441" s="166"/>
      <c r="AE441" s="34"/>
      <c r="AF441" s="34"/>
      <c r="AG441" s="34"/>
      <c r="AP441" s="7"/>
      <c r="AW441" s="24"/>
      <c r="AX441" s="52"/>
      <c r="AY441" s="52"/>
      <c r="AZ441" s="52"/>
    </row>
    <row r="442" spans="1:52" ht="16" customHeight="1" x14ac:dyDescent="0.25">
      <c r="A442" s="34" t="s">
        <v>209</v>
      </c>
      <c r="B442" s="34"/>
      <c r="C442" s="34"/>
      <c r="D442" s="34"/>
      <c r="E442" s="34"/>
      <c r="F442" s="34"/>
      <c r="G442" s="34"/>
      <c r="H442" s="34"/>
      <c r="I442" s="34"/>
      <c r="J442" s="34"/>
      <c r="K442" s="34"/>
      <c r="L442" s="34"/>
      <c r="M442" s="34"/>
      <c r="N442" s="34"/>
      <c r="O442" s="34"/>
      <c r="P442" s="24" t="s">
        <v>415</v>
      </c>
      <c r="Q442" s="98">
        <f>Q336</f>
        <v>20.923191320283117</v>
      </c>
      <c r="R442" s="98"/>
      <c r="S442" s="98"/>
      <c r="T442" s="34" t="s">
        <v>258</v>
      </c>
      <c r="U442" s="34"/>
      <c r="V442" s="34"/>
      <c r="W442" s="34"/>
      <c r="X442" s="34"/>
      <c r="Y442" s="34"/>
      <c r="Z442" s="34"/>
      <c r="AA442" s="34"/>
      <c r="AB442" s="34"/>
      <c r="AC442" s="34"/>
      <c r="AD442" s="34"/>
      <c r="AE442" s="34"/>
      <c r="AF442" s="34"/>
      <c r="AG442" s="34"/>
      <c r="AH442" s="118"/>
      <c r="AP442" s="7"/>
      <c r="AW442" s="24"/>
      <c r="AX442" s="52"/>
      <c r="AY442" s="52"/>
      <c r="AZ442" s="52"/>
    </row>
    <row r="443" spans="1:52" ht="16" customHeight="1" x14ac:dyDescent="0.25">
      <c r="A443" s="7" t="s">
        <v>297</v>
      </c>
      <c r="P443" s="24" t="s">
        <v>438</v>
      </c>
      <c r="Q443" s="167">
        <v>2000</v>
      </c>
      <c r="R443" s="167"/>
      <c r="S443" s="167"/>
      <c r="T443" s="7" t="s">
        <v>15</v>
      </c>
      <c r="AH443" s="168"/>
      <c r="AI443" s="168"/>
      <c r="AJ443" s="168"/>
      <c r="AK443" s="168"/>
      <c r="AL443" s="168"/>
      <c r="AM443" s="168"/>
      <c r="AN443" s="168"/>
      <c r="AP443" s="7"/>
      <c r="AW443" s="24"/>
      <c r="AX443" s="123"/>
      <c r="AY443" s="123"/>
      <c r="AZ443" s="123"/>
    </row>
    <row r="444" spans="1:52" ht="16" customHeight="1" x14ac:dyDescent="0.25">
      <c r="A444" s="7" t="s">
        <v>294</v>
      </c>
      <c r="P444" s="24" t="s">
        <v>401</v>
      </c>
      <c r="Q444" s="69">
        <v>0.8</v>
      </c>
      <c r="R444" s="69"/>
      <c r="S444" s="69"/>
      <c r="AH444" s="168"/>
      <c r="AI444" s="168"/>
      <c r="AJ444" s="168"/>
      <c r="AK444" s="168"/>
      <c r="AL444" s="168"/>
      <c r="AM444" s="168"/>
      <c r="AN444" s="168"/>
      <c r="AP444" s="7"/>
      <c r="AW444" s="24"/>
      <c r="AX444" s="123"/>
      <c r="AY444" s="123"/>
      <c r="AZ444" s="123"/>
    </row>
    <row r="445" spans="1:52" ht="16" customHeight="1" x14ac:dyDescent="0.25">
      <c r="A445" s="118" t="s">
        <v>88</v>
      </c>
      <c r="B445" s="34"/>
      <c r="C445" s="34"/>
      <c r="D445" s="34"/>
      <c r="E445" s="34"/>
      <c r="F445" s="34"/>
      <c r="G445" s="34"/>
      <c r="H445" s="34"/>
      <c r="I445" s="34"/>
      <c r="J445" s="34"/>
      <c r="K445" s="34"/>
      <c r="L445" s="34"/>
      <c r="M445" s="34"/>
      <c r="N445" s="34"/>
      <c r="O445" s="34"/>
      <c r="P445" s="24" t="s">
        <v>322</v>
      </c>
      <c r="Q445" s="167">
        <f>Q181</f>
        <v>36</v>
      </c>
      <c r="R445" s="167"/>
      <c r="S445" s="167"/>
      <c r="T445" s="34" t="s">
        <v>293</v>
      </c>
      <c r="U445" s="34"/>
      <c r="V445" s="34"/>
      <c r="W445" s="34"/>
      <c r="X445" s="34"/>
      <c r="Y445" s="34"/>
      <c r="Z445" s="34"/>
      <c r="AA445" s="34"/>
      <c r="AB445" s="34"/>
      <c r="AC445" s="34"/>
      <c r="AD445" s="34"/>
      <c r="AE445" s="34"/>
      <c r="AF445" s="34"/>
      <c r="AG445" s="34"/>
      <c r="AH445" s="118"/>
      <c r="AP445" s="7"/>
      <c r="AW445" s="24"/>
      <c r="AX445" s="52"/>
      <c r="AY445" s="52"/>
      <c r="AZ445" s="52"/>
    </row>
    <row r="446" spans="1:52" ht="16" customHeight="1" x14ac:dyDescent="0.25">
      <c r="A446" s="118" t="s">
        <v>87</v>
      </c>
      <c r="P446" s="24" t="s">
        <v>321</v>
      </c>
      <c r="Q446" s="68">
        <f>Q179</f>
        <v>13</v>
      </c>
      <c r="R446" s="68"/>
      <c r="S446" s="68"/>
      <c r="T446" s="7" t="s">
        <v>247</v>
      </c>
      <c r="U446" s="34"/>
      <c r="V446" s="34"/>
      <c r="W446" s="34"/>
      <c r="X446" s="34"/>
      <c r="Y446" s="34"/>
      <c r="Z446" s="34"/>
      <c r="AA446" s="34"/>
      <c r="AB446" s="34"/>
      <c r="AC446" s="34"/>
      <c r="AD446" s="34"/>
      <c r="AE446" s="34"/>
      <c r="AF446" s="34"/>
      <c r="AG446" s="34"/>
      <c r="AH446" s="118"/>
      <c r="AP446" s="7"/>
      <c r="AW446" s="24"/>
      <c r="AX446" s="123"/>
      <c r="AY446" s="123"/>
      <c r="AZ446" s="123"/>
    </row>
    <row r="447" spans="1:52" ht="16" customHeight="1" x14ac:dyDescent="0.25">
      <c r="A447" s="118"/>
      <c r="P447" s="24"/>
      <c r="Q447" s="52"/>
      <c r="R447" s="52"/>
      <c r="S447" s="52"/>
      <c r="U447" s="34"/>
      <c r="V447" s="34"/>
      <c r="W447" s="34"/>
      <c r="X447" s="34"/>
      <c r="Y447" s="34"/>
      <c r="Z447" s="34"/>
      <c r="AA447" s="34"/>
      <c r="AB447" s="34"/>
      <c r="AC447" s="34"/>
      <c r="AD447" s="34"/>
      <c r="AE447" s="34"/>
      <c r="AF447" s="34"/>
      <c r="AG447" s="34"/>
      <c r="AH447" s="118"/>
      <c r="AP447" s="7"/>
      <c r="AW447" s="24"/>
      <c r="AX447" s="52"/>
      <c r="AY447" s="52"/>
      <c r="AZ447" s="52"/>
    </row>
    <row r="448" spans="1:52" ht="16" customHeight="1" x14ac:dyDescent="0.25">
      <c r="A448" s="118" t="s">
        <v>303</v>
      </c>
      <c r="P448" s="24"/>
      <c r="Q448" s="52"/>
      <c r="R448" s="52"/>
      <c r="S448" s="52"/>
      <c r="U448" s="34"/>
      <c r="V448" s="34"/>
      <c r="W448" s="34"/>
      <c r="AB448" s="34"/>
      <c r="AC448" s="34"/>
      <c r="AD448" s="34"/>
      <c r="AE448" s="34"/>
      <c r="AF448" s="34"/>
      <c r="AG448" s="34"/>
      <c r="AP448" s="7"/>
      <c r="AW448" s="24"/>
      <c r="AX448" s="123"/>
      <c r="AY448" s="123"/>
      <c r="AZ448" s="123"/>
    </row>
    <row r="449" spans="1:53" ht="16" customHeight="1" x14ac:dyDescent="0.25">
      <c r="A449" s="118"/>
      <c r="P449" s="24"/>
      <c r="Q449" s="52"/>
      <c r="R449" s="52"/>
      <c r="S449" s="52"/>
      <c r="U449" s="34"/>
      <c r="V449" s="34"/>
      <c r="W449" s="34"/>
      <c r="X449" s="34"/>
      <c r="Y449" s="34"/>
      <c r="Z449" s="34"/>
      <c r="AA449" s="34"/>
      <c r="AB449" s="34"/>
      <c r="AC449" s="34"/>
      <c r="AD449" s="34"/>
      <c r="AE449" s="34"/>
      <c r="AF449" s="34"/>
      <c r="AG449" s="34"/>
      <c r="AP449" s="7"/>
      <c r="AW449" s="24"/>
      <c r="AX449" s="123"/>
      <c r="AY449" s="123"/>
      <c r="AZ449" s="123"/>
    </row>
    <row r="450" spans="1:53" ht="16" customHeight="1" x14ac:dyDescent="0.25">
      <c r="A450" s="118" t="s">
        <v>304</v>
      </c>
      <c r="P450" s="24"/>
      <c r="Q450" s="52"/>
      <c r="R450" s="52"/>
      <c r="S450" s="52"/>
      <c r="U450" s="34"/>
      <c r="V450" s="34"/>
      <c r="W450" s="34"/>
      <c r="AB450" s="34"/>
      <c r="AC450" s="34"/>
      <c r="AD450" s="34"/>
      <c r="AE450" s="34"/>
      <c r="AF450" s="34"/>
      <c r="AG450" s="34"/>
      <c r="AP450" s="7"/>
      <c r="AX450" s="123"/>
      <c r="AY450" s="123"/>
      <c r="AZ450" s="123"/>
    </row>
    <row r="451" spans="1:53" ht="16" customHeight="1" x14ac:dyDescent="0.25">
      <c r="A451" s="118"/>
      <c r="P451" s="24"/>
      <c r="Q451" s="52"/>
      <c r="R451" s="52"/>
      <c r="S451" s="52"/>
      <c r="U451" s="34"/>
      <c r="V451" s="34"/>
      <c r="W451" s="34"/>
      <c r="X451" s="34"/>
      <c r="Y451" s="34"/>
      <c r="Z451" s="34"/>
      <c r="AA451" s="34"/>
      <c r="AB451" s="34"/>
      <c r="AC451" s="34"/>
      <c r="AD451" s="34"/>
      <c r="AE451" s="34"/>
      <c r="AF451" s="34"/>
      <c r="AG451" s="34"/>
      <c r="AP451" s="7"/>
      <c r="AW451" s="24"/>
      <c r="BA451" s="34"/>
    </row>
    <row r="452" spans="1:53" ht="16" customHeight="1" x14ac:dyDescent="0.25">
      <c r="A452" s="118"/>
      <c r="P452" s="24" t="s">
        <v>439</v>
      </c>
      <c r="Q452" s="69">
        <f>PI()*(Q445/12)^2/2*(Q446-1.5*(Q445/12))*Q443/1000</f>
        <v>240.33183799961918</v>
      </c>
      <c r="R452" s="69"/>
      <c r="S452" s="69"/>
      <c r="T452" s="34" t="s">
        <v>258</v>
      </c>
      <c r="U452" s="34"/>
      <c r="V452" s="34"/>
      <c r="W452" s="34"/>
      <c r="X452" s="34"/>
      <c r="Y452" s="34"/>
      <c r="Z452" s="34"/>
      <c r="AA452" s="34"/>
      <c r="AB452" s="34"/>
      <c r="AC452" s="34"/>
      <c r="AD452" s="34"/>
      <c r="AE452" s="34"/>
      <c r="AF452" s="34"/>
      <c r="AG452" s="34"/>
      <c r="AP452" s="7"/>
      <c r="AW452" s="24"/>
      <c r="BA452" s="34"/>
    </row>
    <row r="453" spans="1:53" ht="16" customHeight="1" x14ac:dyDescent="0.25">
      <c r="A453" s="118"/>
      <c r="P453" s="24" t="s">
        <v>440</v>
      </c>
      <c r="Q453" s="69">
        <f>PI()*(Q445/12)^3/12*Q443/1000</f>
        <v>14.137166941154069</v>
      </c>
      <c r="R453" s="69"/>
      <c r="S453" s="69"/>
      <c r="T453" s="34" t="s">
        <v>258</v>
      </c>
      <c r="U453" s="34"/>
      <c r="V453" s="34"/>
      <c r="W453" s="34"/>
      <c r="X453" s="34"/>
      <c r="Y453" s="34"/>
      <c r="Z453" s="34"/>
      <c r="AA453" s="34"/>
      <c r="AB453" s="34"/>
      <c r="AC453" s="34"/>
      <c r="AD453" s="34"/>
      <c r="AE453" s="34"/>
      <c r="AF453" s="34"/>
      <c r="AG453" s="34"/>
      <c r="AP453" s="7"/>
      <c r="AW453" s="24"/>
      <c r="BA453" s="34"/>
    </row>
    <row r="454" spans="1:53" ht="16" customHeight="1" x14ac:dyDescent="0.25">
      <c r="A454" s="7" t="s">
        <v>307</v>
      </c>
      <c r="P454" s="24"/>
      <c r="Q454" s="68">
        <f>Q452+Q453</f>
        <v>254.46900494077326</v>
      </c>
      <c r="R454" s="68"/>
      <c r="S454" s="68"/>
      <c r="T454" s="34" t="s">
        <v>258</v>
      </c>
      <c r="U454" s="34"/>
      <c r="V454" s="34"/>
      <c r="W454" s="34"/>
      <c r="X454" s="34"/>
      <c r="Y454" s="34"/>
      <c r="Z454" s="34"/>
      <c r="AA454" s="34"/>
      <c r="AB454" s="34"/>
      <c r="AC454" s="34"/>
      <c r="AD454" s="34"/>
      <c r="AE454" s="34"/>
      <c r="AF454" s="34"/>
      <c r="AG454" s="34"/>
      <c r="AP454" s="7"/>
      <c r="AW454" s="24"/>
    </row>
    <row r="455" spans="1:53" ht="16" customHeight="1" x14ac:dyDescent="0.25">
      <c r="A455" s="118"/>
      <c r="P455" s="24" t="s">
        <v>441</v>
      </c>
      <c r="Q455" s="69">
        <f>Q454*Q444</f>
        <v>203.57520395261861</v>
      </c>
      <c r="R455" s="69"/>
      <c r="S455" s="69"/>
      <c r="T455" s="34" t="s">
        <v>258</v>
      </c>
      <c r="W455" s="34"/>
      <c r="X455" s="34"/>
      <c r="Y455" s="34"/>
      <c r="Z455" s="34"/>
      <c r="AA455" s="34"/>
      <c r="AB455" s="34"/>
      <c r="AC455" s="34"/>
      <c r="AD455" s="34"/>
      <c r="AE455" s="34"/>
      <c r="AF455" s="34"/>
      <c r="AG455" s="34"/>
      <c r="AP455" s="7"/>
      <c r="AW455" s="24"/>
      <c r="BA455" s="34"/>
    </row>
    <row r="456" spans="1:53" ht="16" customHeight="1" x14ac:dyDescent="0.25">
      <c r="A456" s="118"/>
      <c r="P456" s="24"/>
      <c r="Q456" s="69" t="str">
        <f>IF(Q455&lt;Q457,"&lt;","&gt;")</f>
        <v>&gt;</v>
      </c>
      <c r="R456" s="69"/>
      <c r="S456" s="69"/>
      <c r="W456" s="34"/>
      <c r="X456" s="34"/>
      <c r="Y456" s="34"/>
      <c r="Z456" s="34"/>
      <c r="AA456" s="34"/>
      <c r="AB456" s="34"/>
      <c r="AC456" s="34"/>
      <c r="AD456" s="34"/>
      <c r="AE456" s="34"/>
      <c r="AF456" s="34"/>
      <c r="AG456" s="34"/>
      <c r="AP456" s="7"/>
    </row>
    <row r="457" spans="1:53" ht="16" customHeight="1" x14ac:dyDescent="0.25">
      <c r="A457" s="118"/>
      <c r="P457" s="24" t="s">
        <v>415</v>
      </c>
      <c r="Q457" s="69">
        <f>Q442</f>
        <v>20.923191320283117</v>
      </c>
      <c r="R457" s="69"/>
      <c r="S457" s="69"/>
      <c r="T457" s="34" t="s">
        <v>258</v>
      </c>
      <c r="W457" s="34"/>
      <c r="X457" s="34"/>
      <c r="Y457" s="34"/>
      <c r="Z457" s="34"/>
      <c r="AA457" s="34"/>
      <c r="AB457" s="34"/>
      <c r="AC457" s="34"/>
      <c r="AD457" s="34"/>
      <c r="AE457" s="34"/>
      <c r="AF457" s="34"/>
      <c r="AG457" s="34"/>
      <c r="AP457" s="7"/>
    </row>
    <row r="458" spans="1:53" ht="16" customHeight="1" x14ac:dyDescent="0.25">
      <c r="Q458" s="69" t="str">
        <f>IF(Q455&gt;Q457,"OK!","Resize Section Length!")</f>
        <v>OK!</v>
      </c>
      <c r="R458" s="69"/>
      <c r="S458" s="69"/>
      <c r="AP458" s="7"/>
    </row>
    <row r="459" spans="1:53" ht="16" customHeight="1" x14ac:dyDescent="0.25">
      <c r="AP459" s="7"/>
    </row>
    <row r="460" spans="1:53" ht="16" customHeight="1" x14ac:dyDescent="0.25">
      <c r="A460" s="165" t="s">
        <v>295</v>
      </c>
      <c r="AP460" s="7"/>
    </row>
    <row r="461" spans="1:53" ht="16" customHeight="1" x14ac:dyDescent="0.25">
      <c r="A461" s="142" t="s">
        <v>296</v>
      </c>
      <c r="B461" s="142"/>
      <c r="C461" s="142"/>
      <c r="D461" s="142"/>
      <c r="E461" s="142"/>
      <c r="F461" s="142"/>
      <c r="G461" s="142"/>
      <c r="H461" s="142"/>
      <c r="I461" s="142"/>
      <c r="J461" s="142"/>
      <c r="K461" s="142"/>
      <c r="L461" s="142"/>
      <c r="M461" s="142"/>
      <c r="N461" s="142"/>
      <c r="O461" s="142"/>
      <c r="P461" s="142"/>
      <c r="Q461" s="142"/>
      <c r="R461" s="142"/>
      <c r="S461" s="142"/>
      <c r="T461" s="142"/>
      <c r="U461" s="142"/>
      <c r="V461" s="142"/>
      <c r="W461" s="142"/>
      <c r="X461" s="142"/>
      <c r="Y461" s="142"/>
      <c r="Z461" s="142"/>
      <c r="AA461" s="142"/>
      <c r="AB461" s="142"/>
      <c r="AC461" s="142"/>
      <c r="AD461" s="142"/>
      <c r="AP461" s="7"/>
    </row>
    <row r="462" spans="1:53" ht="16" customHeight="1" x14ac:dyDescent="0.25">
      <c r="A462" s="142"/>
      <c r="B462" s="142"/>
      <c r="C462" s="142"/>
      <c r="D462" s="142"/>
      <c r="E462" s="142"/>
      <c r="F462" s="142"/>
      <c r="G462" s="142"/>
      <c r="H462" s="142"/>
      <c r="I462" s="142"/>
      <c r="J462" s="142"/>
      <c r="K462" s="142"/>
      <c r="L462" s="142"/>
      <c r="M462" s="142"/>
      <c r="N462" s="142"/>
      <c r="O462" s="142"/>
      <c r="P462" s="142"/>
      <c r="Q462" s="142"/>
      <c r="R462" s="142"/>
      <c r="S462" s="142"/>
      <c r="T462" s="142"/>
      <c r="U462" s="142"/>
      <c r="V462" s="142"/>
      <c r="W462" s="142"/>
      <c r="X462" s="142"/>
      <c r="Y462" s="142"/>
      <c r="Z462" s="142"/>
      <c r="AA462" s="142"/>
      <c r="AB462" s="142"/>
      <c r="AC462" s="142"/>
      <c r="AD462" s="142"/>
      <c r="AP462" s="7"/>
    </row>
    <row r="463" spans="1:53" ht="16" customHeight="1" x14ac:dyDescent="0.25">
      <c r="A463" s="142"/>
      <c r="B463" s="142"/>
      <c r="C463" s="142"/>
      <c r="D463" s="142"/>
      <c r="E463" s="142"/>
      <c r="F463" s="142"/>
      <c r="G463" s="142"/>
      <c r="H463" s="142"/>
      <c r="I463" s="142"/>
      <c r="J463" s="142"/>
      <c r="K463" s="142"/>
      <c r="L463" s="142"/>
      <c r="M463" s="142"/>
      <c r="N463" s="142"/>
      <c r="O463" s="142"/>
      <c r="P463" s="142"/>
      <c r="Q463" s="142"/>
      <c r="R463" s="142"/>
      <c r="S463" s="142"/>
      <c r="T463" s="142"/>
      <c r="U463" s="142"/>
      <c r="V463" s="142"/>
      <c r="W463" s="142"/>
      <c r="X463" s="142"/>
      <c r="Y463" s="142"/>
      <c r="Z463" s="142"/>
      <c r="AA463" s="142"/>
      <c r="AB463" s="142"/>
      <c r="AC463" s="142"/>
      <c r="AD463" s="142"/>
    </row>
    <row r="465" spans="1:42" ht="16" customHeight="1" x14ac:dyDescent="0.25">
      <c r="A465" s="34" t="s">
        <v>209</v>
      </c>
      <c r="P465" s="24" t="s">
        <v>415</v>
      </c>
      <c r="Q465" s="98">
        <f>Q457</f>
        <v>20.923191320283117</v>
      </c>
      <c r="R465" s="98"/>
      <c r="S465" s="98"/>
      <c r="T465" s="34" t="s">
        <v>258</v>
      </c>
    </row>
    <row r="466" spans="1:42" ht="16" customHeight="1" x14ac:dyDescent="0.25">
      <c r="A466" s="7" t="s">
        <v>297</v>
      </c>
      <c r="P466" s="24" t="s">
        <v>442</v>
      </c>
      <c r="Q466" s="167">
        <f>N173</f>
        <v>120</v>
      </c>
      <c r="R466" s="167"/>
      <c r="S466" s="167"/>
      <c r="T466" s="7" t="s">
        <v>13</v>
      </c>
    </row>
    <row r="467" spans="1:42" ht="16" customHeight="1" x14ac:dyDescent="0.25">
      <c r="A467" s="7" t="s">
        <v>297</v>
      </c>
      <c r="P467" s="24" t="s">
        <v>443</v>
      </c>
      <c r="Q467" s="30">
        <v>30</v>
      </c>
      <c r="R467" s="30"/>
      <c r="S467" s="30"/>
      <c r="T467" s="7" t="s">
        <v>298</v>
      </c>
    </row>
    <row r="468" spans="1:42" ht="16" customHeight="1" x14ac:dyDescent="0.25">
      <c r="A468" s="7" t="s">
        <v>294</v>
      </c>
      <c r="P468" s="24" t="s">
        <v>401</v>
      </c>
      <c r="Q468" s="30">
        <v>0.8</v>
      </c>
      <c r="R468" s="30"/>
      <c r="S468" s="30"/>
      <c r="AP468" s="7"/>
    </row>
    <row r="469" spans="1:42" ht="16" customHeight="1" x14ac:dyDescent="0.25">
      <c r="A469" s="118" t="s">
        <v>88</v>
      </c>
      <c r="P469" s="24" t="s">
        <v>322</v>
      </c>
      <c r="Q469" s="68">
        <f>Q445</f>
        <v>36</v>
      </c>
      <c r="R469" s="68"/>
      <c r="S469" s="68"/>
      <c r="T469" s="34" t="s">
        <v>293</v>
      </c>
    </row>
    <row r="470" spans="1:42" ht="16" customHeight="1" x14ac:dyDescent="0.25">
      <c r="A470" s="118" t="s">
        <v>87</v>
      </c>
      <c r="P470" s="24" t="s">
        <v>321</v>
      </c>
      <c r="Q470" s="68">
        <f>Q446</f>
        <v>13</v>
      </c>
      <c r="R470" s="68"/>
      <c r="S470" s="68"/>
      <c r="T470" s="7" t="s">
        <v>247</v>
      </c>
    </row>
    <row r="471" spans="1:42" ht="16" customHeight="1" x14ac:dyDescent="0.25">
      <c r="A471" s="118" t="s">
        <v>301</v>
      </c>
      <c r="P471" s="24" t="s">
        <v>302</v>
      </c>
      <c r="Q471" s="68">
        <f>0.15*(Q469/12)^2*0.25*Q470*PI()</f>
        <v>13.783737767625215</v>
      </c>
      <c r="R471" s="68"/>
      <c r="S471" s="68"/>
      <c r="T471" s="7" t="s">
        <v>1</v>
      </c>
    </row>
    <row r="472" spans="1:42" ht="16" customHeight="1" x14ac:dyDescent="0.25">
      <c r="A472" s="118"/>
      <c r="P472" s="24"/>
      <c r="Q472" s="52"/>
      <c r="R472" s="52"/>
      <c r="S472" s="52"/>
    </row>
    <row r="473" spans="1:42" ht="16" customHeight="1" x14ac:dyDescent="0.25">
      <c r="A473" s="118" t="s">
        <v>303</v>
      </c>
      <c r="P473" s="24"/>
      <c r="Q473" s="52"/>
      <c r="R473" s="52"/>
      <c r="S473" s="52"/>
    </row>
    <row r="474" spans="1:42" ht="16" customHeight="1" x14ac:dyDescent="0.25">
      <c r="A474" s="118"/>
      <c r="P474" s="24"/>
      <c r="Q474" s="52"/>
      <c r="R474" s="52"/>
      <c r="S474" s="52"/>
    </row>
    <row r="475" spans="1:42" ht="16" customHeight="1" x14ac:dyDescent="0.25">
      <c r="A475" s="118" t="s">
        <v>304</v>
      </c>
      <c r="P475" s="24"/>
      <c r="Q475" s="52"/>
      <c r="R475" s="52"/>
      <c r="S475" s="52"/>
    </row>
    <row r="476" spans="1:42" ht="16" customHeight="1" x14ac:dyDescent="0.25">
      <c r="A476" s="118"/>
      <c r="P476" s="24"/>
      <c r="Q476" s="52"/>
      <c r="R476" s="52"/>
      <c r="S476" s="52"/>
    </row>
    <row r="477" spans="1:42" ht="16" customHeight="1" x14ac:dyDescent="0.25">
      <c r="A477" s="169" t="s">
        <v>306</v>
      </c>
      <c r="B477" s="169"/>
      <c r="C477" s="169"/>
      <c r="D477" s="169"/>
      <c r="E477" s="169"/>
      <c r="F477" s="169"/>
      <c r="G477" s="169"/>
      <c r="P477" s="24"/>
      <c r="Q477" s="68">
        <f>(2*Q470)/(3*Q469/12)*(1-SIN(RADIANS(Q467)))</f>
        <v>1.4444444444444444</v>
      </c>
      <c r="R477" s="68"/>
      <c r="S477" s="68"/>
    </row>
    <row r="478" spans="1:42" ht="16" customHeight="1" x14ac:dyDescent="0.25">
      <c r="A478" s="169"/>
      <c r="B478" s="169"/>
      <c r="C478" s="169"/>
      <c r="D478" s="169"/>
      <c r="E478" s="169"/>
      <c r="F478" s="169"/>
      <c r="G478" s="169"/>
      <c r="P478" s="24"/>
      <c r="Q478" s="68"/>
      <c r="R478" s="68"/>
      <c r="S478" s="68"/>
    </row>
    <row r="479" spans="1:42" ht="16" customHeight="1" x14ac:dyDescent="0.25">
      <c r="A479" s="118"/>
      <c r="P479" s="24"/>
      <c r="Q479" s="52"/>
      <c r="R479" s="52"/>
      <c r="S479" s="52"/>
    </row>
    <row r="480" spans="1:42" ht="16" customHeight="1" x14ac:dyDescent="0.25">
      <c r="A480" s="118" t="s">
        <v>305</v>
      </c>
      <c r="P480" s="24"/>
      <c r="Q480" s="68">
        <f>Q477*Q466/1000*Q470/2*TAN(RADIANS(Q467))</f>
        <v>0.6504813032869784</v>
      </c>
      <c r="R480" s="68"/>
      <c r="S480" s="68"/>
      <c r="T480" s="7" t="s">
        <v>108</v>
      </c>
    </row>
    <row r="481" spans="1:73" ht="16" customHeight="1" x14ac:dyDescent="0.25">
      <c r="A481" s="118"/>
      <c r="P481" s="24"/>
      <c r="Q481" s="52"/>
      <c r="R481" s="52"/>
      <c r="S481" s="52"/>
    </row>
    <row r="482" spans="1:73" ht="16" customHeight="1" x14ac:dyDescent="0.25">
      <c r="P482" s="24" t="s">
        <v>439</v>
      </c>
      <c r="Q482" s="68">
        <f>PI()*(Q469/12)^2/2*Q470*Q480</f>
        <v>119.5475160966773</v>
      </c>
      <c r="R482" s="68"/>
      <c r="S482" s="68"/>
      <c r="T482" s="34" t="s">
        <v>258</v>
      </c>
    </row>
    <row r="483" spans="1:73" ht="16" customHeight="1" x14ac:dyDescent="0.25">
      <c r="P483" s="24" t="s">
        <v>440</v>
      </c>
      <c r="Q483" s="68">
        <f>(Q469/12)/3*Q471*TAN(RADIANS(Q467))</f>
        <v>7.9580447105776289</v>
      </c>
      <c r="R483" s="68"/>
      <c r="S483" s="68"/>
      <c r="T483" s="34" t="s">
        <v>258</v>
      </c>
    </row>
    <row r="484" spans="1:73" ht="16" customHeight="1" x14ac:dyDescent="0.25">
      <c r="A484" s="7" t="s">
        <v>307</v>
      </c>
      <c r="Q484" s="68">
        <f>Q482+Q483</f>
        <v>127.50556080725492</v>
      </c>
      <c r="R484" s="68"/>
      <c r="S484" s="68"/>
      <c r="T484" s="34" t="s">
        <v>258</v>
      </c>
      <c r="BR484" s="24"/>
    </row>
    <row r="485" spans="1:73" ht="16" customHeight="1" x14ac:dyDescent="0.25">
      <c r="P485" s="24" t="s">
        <v>441</v>
      </c>
      <c r="Q485" s="69">
        <f>Q468*Q484</f>
        <v>102.00444864580395</v>
      </c>
      <c r="R485" s="69"/>
      <c r="S485" s="69"/>
      <c r="T485" s="34" t="s">
        <v>258</v>
      </c>
    </row>
    <row r="486" spans="1:73" ht="16" customHeight="1" x14ac:dyDescent="0.25">
      <c r="P486" s="24"/>
      <c r="Q486" s="69" t="str">
        <f>IF(Q485&lt;Q487,"&lt;","&gt;")</f>
        <v>&gt;</v>
      </c>
      <c r="R486" s="69"/>
      <c r="S486" s="69"/>
    </row>
    <row r="487" spans="1:73" ht="16" customHeight="1" x14ac:dyDescent="0.25">
      <c r="P487" s="24" t="s">
        <v>415</v>
      </c>
      <c r="Q487" s="69">
        <f>Q465</f>
        <v>20.923191320283117</v>
      </c>
      <c r="R487" s="69"/>
      <c r="S487" s="69"/>
      <c r="T487" s="34" t="s">
        <v>258</v>
      </c>
      <c r="BR487" s="24"/>
      <c r="BS487" s="134"/>
      <c r="BT487" s="134"/>
      <c r="BU487" s="134"/>
    </row>
    <row r="488" spans="1:73" ht="16" customHeight="1" x14ac:dyDescent="0.25">
      <c r="Q488" s="69" t="str">
        <f>IF(Q485&gt;Q487,"OK!","Resize Section Length!")</f>
        <v>OK!</v>
      </c>
      <c r="R488" s="69"/>
      <c r="S488" s="69"/>
      <c r="AE488" s="69"/>
      <c r="AF488" s="69"/>
      <c r="AG488" s="69"/>
      <c r="AH488" s="69"/>
    </row>
    <row r="492" spans="1:73" ht="16" customHeight="1" x14ac:dyDescent="0.25">
      <c r="W492" s="11"/>
    </row>
  </sheetData>
  <mergeCells count="425">
    <mergeCell ref="Q488:S488"/>
    <mergeCell ref="Q467:S467"/>
    <mergeCell ref="Q469:S469"/>
    <mergeCell ref="Q470:S470"/>
    <mergeCell ref="AE488:AH488"/>
    <mergeCell ref="Q484:S484"/>
    <mergeCell ref="A477:G478"/>
    <mergeCell ref="Q477:S478"/>
    <mergeCell ref="Q480:S480"/>
    <mergeCell ref="Q483:S483"/>
    <mergeCell ref="Q482:S482"/>
    <mergeCell ref="Q485:S485"/>
    <mergeCell ref="Q486:S486"/>
    <mergeCell ref="Q487:S487"/>
    <mergeCell ref="Q468:S468"/>
    <mergeCell ref="Q471:S471"/>
    <mergeCell ref="A433:AD435"/>
    <mergeCell ref="Q455:S455"/>
    <mergeCell ref="Q456:S456"/>
    <mergeCell ref="Q457:S457"/>
    <mergeCell ref="Q458:S458"/>
    <mergeCell ref="A461:AD463"/>
    <mergeCell ref="Q465:S465"/>
    <mergeCell ref="Q466:S466"/>
    <mergeCell ref="Q442:S442"/>
    <mergeCell ref="A438:AD440"/>
    <mergeCell ref="Q445:S445"/>
    <mergeCell ref="Q443:S443"/>
    <mergeCell ref="Q444:S444"/>
    <mergeCell ref="Q446:S446"/>
    <mergeCell ref="Q452:S452"/>
    <mergeCell ref="Q453:S453"/>
    <mergeCell ref="Q454:S454"/>
    <mergeCell ref="Q424:S424"/>
    <mergeCell ref="Q407:S407"/>
    <mergeCell ref="Q408:S408"/>
    <mergeCell ref="Q409:S409"/>
    <mergeCell ref="Q410:S410"/>
    <mergeCell ref="Q411:S411"/>
    <mergeCell ref="Q373:S373"/>
    <mergeCell ref="Q372:S372"/>
    <mergeCell ref="Q339:S339"/>
    <mergeCell ref="Q377:S377"/>
    <mergeCell ref="Q375:S375"/>
    <mergeCell ref="Q365:S365"/>
    <mergeCell ref="Q371:S371"/>
    <mergeCell ref="Q347:S347"/>
    <mergeCell ref="Q351:S351"/>
    <mergeCell ref="Q352:S352"/>
    <mergeCell ref="Q353:S353"/>
    <mergeCell ref="Q359:S359"/>
    <mergeCell ref="Q360:S360"/>
    <mergeCell ref="Q362:S362"/>
    <mergeCell ref="Q361:S361"/>
    <mergeCell ref="Q415:S415"/>
    <mergeCell ref="Q421:S421"/>
    <mergeCell ref="Q390:S390"/>
    <mergeCell ref="Q335:S335"/>
    <mergeCell ref="Q336:S336"/>
    <mergeCell ref="Q337:S337"/>
    <mergeCell ref="Q338:S338"/>
    <mergeCell ref="Q342:S342"/>
    <mergeCell ref="Q343:S343"/>
    <mergeCell ref="Q345:S345"/>
    <mergeCell ref="Q346:S346"/>
    <mergeCell ref="Q348:S348"/>
    <mergeCell ref="A173:C173"/>
    <mergeCell ref="A174:C174"/>
    <mergeCell ref="Z171:AB172"/>
    <mergeCell ref="Z174:AB174"/>
    <mergeCell ref="Z173:AB173"/>
    <mergeCell ref="A1:AE2"/>
    <mergeCell ref="A4:AE12"/>
    <mergeCell ref="A151:E152"/>
    <mergeCell ref="A153:E153"/>
    <mergeCell ref="A154:E154"/>
    <mergeCell ref="A155:E155"/>
    <mergeCell ref="A156:E156"/>
    <mergeCell ref="A171:C172"/>
    <mergeCell ref="N171:Q172"/>
    <mergeCell ref="N173:Q173"/>
    <mergeCell ref="N174:Q174"/>
    <mergeCell ref="R171:U172"/>
    <mergeCell ref="R173:U173"/>
    <mergeCell ref="R174:U174"/>
    <mergeCell ref="V171:Y172"/>
    <mergeCell ref="V173:Y173"/>
    <mergeCell ref="V174:Y174"/>
    <mergeCell ref="Y128:AB128"/>
    <mergeCell ref="Y129:AB129"/>
    <mergeCell ref="Y138:AB138"/>
    <mergeCell ref="Q129:T129"/>
    <mergeCell ref="Q130:T130"/>
    <mergeCell ref="Q131:T131"/>
    <mergeCell ref="Q132:T132"/>
    <mergeCell ref="Q133:T133"/>
    <mergeCell ref="Q134:T134"/>
    <mergeCell ref="Q135:T135"/>
    <mergeCell ref="Q138:T138"/>
    <mergeCell ref="Q137:T137"/>
    <mergeCell ref="Y137:AB137"/>
    <mergeCell ref="Y136:AB136"/>
    <mergeCell ref="I138:L138"/>
    <mergeCell ref="I137:L137"/>
    <mergeCell ref="M132:P132"/>
    <mergeCell ref="M133:P133"/>
    <mergeCell ref="M134:P134"/>
    <mergeCell ref="M135:P135"/>
    <mergeCell ref="M138:P138"/>
    <mergeCell ref="M137:P137"/>
    <mergeCell ref="U128:X128"/>
    <mergeCell ref="U129:X129"/>
    <mergeCell ref="U130:X130"/>
    <mergeCell ref="U131:X131"/>
    <mergeCell ref="U132:X132"/>
    <mergeCell ref="U133:X133"/>
    <mergeCell ref="U134:X134"/>
    <mergeCell ref="U135:X135"/>
    <mergeCell ref="U138:X138"/>
    <mergeCell ref="U137:X137"/>
    <mergeCell ref="U136:X136"/>
    <mergeCell ref="D128:H128"/>
    <mergeCell ref="D129:H129"/>
    <mergeCell ref="I129:L129"/>
    <mergeCell ref="I130:L130"/>
    <mergeCell ref="I131:L131"/>
    <mergeCell ref="I132:L132"/>
    <mergeCell ref="I133:L133"/>
    <mergeCell ref="I134:L134"/>
    <mergeCell ref="I135:L135"/>
    <mergeCell ref="AQ1:AZ5"/>
    <mergeCell ref="W328:AB328"/>
    <mergeCell ref="Q316:S316"/>
    <mergeCell ref="P216:S216"/>
    <mergeCell ref="P214:S214"/>
    <mergeCell ref="P215:S215"/>
    <mergeCell ref="P217:S217"/>
    <mergeCell ref="Q169:S169"/>
    <mergeCell ref="Q303:S303"/>
    <mergeCell ref="Q304:S304"/>
    <mergeCell ref="Q112:S112"/>
    <mergeCell ref="Q116:S116"/>
    <mergeCell ref="Q305:S305"/>
    <mergeCell ref="Q306:S306"/>
    <mergeCell ref="Q315:S315"/>
    <mergeCell ref="Q314:S314"/>
    <mergeCell ref="Q312:S312"/>
    <mergeCell ref="Q307:S307"/>
    <mergeCell ref="Y130:AB130"/>
    <mergeCell ref="Y131:AB131"/>
    <mergeCell ref="Y132:AB132"/>
    <mergeCell ref="Y133:AB133"/>
    <mergeCell ref="Y134:AB134"/>
    <mergeCell ref="Y135:AB135"/>
    <mergeCell ref="E328:H328"/>
    <mergeCell ref="E329:H329"/>
    <mergeCell ref="E330:H330"/>
    <mergeCell ref="E331:H331"/>
    <mergeCell ref="A326:D327"/>
    <mergeCell ref="W331:AB331"/>
    <mergeCell ref="AC326:AE327"/>
    <mergeCell ref="AC328:AE328"/>
    <mergeCell ref="AC329:AE329"/>
    <mergeCell ref="AC330:AE330"/>
    <mergeCell ref="AC331:AE331"/>
    <mergeCell ref="W326:AB327"/>
    <mergeCell ref="W329:AB329"/>
    <mergeCell ref="W330:AB330"/>
    <mergeCell ref="Q211:S211"/>
    <mergeCell ref="Q212:S212"/>
    <mergeCell ref="Q183:S183"/>
    <mergeCell ref="I331:N331"/>
    <mergeCell ref="I326:N327"/>
    <mergeCell ref="I328:N328"/>
    <mergeCell ref="I329:N329"/>
    <mergeCell ref="I330:N330"/>
    <mergeCell ref="O331:P331"/>
    <mergeCell ref="Q326:V327"/>
    <mergeCell ref="Q328:V328"/>
    <mergeCell ref="Q329:V329"/>
    <mergeCell ref="Q330:V330"/>
    <mergeCell ref="Q331:V331"/>
    <mergeCell ref="O326:P327"/>
    <mergeCell ref="O328:P328"/>
    <mergeCell ref="O329:P329"/>
    <mergeCell ref="O330:P330"/>
    <mergeCell ref="A321:AF322"/>
    <mergeCell ref="A331:D331"/>
    <mergeCell ref="A328:D328"/>
    <mergeCell ref="A329:D329"/>
    <mergeCell ref="A330:D330"/>
    <mergeCell ref="E326:H327"/>
    <mergeCell ref="E198:J198"/>
    <mergeCell ref="E199:J199"/>
    <mergeCell ref="AA151:AE152"/>
    <mergeCell ref="AA153:AE153"/>
    <mergeCell ref="AA154:AE154"/>
    <mergeCell ref="AA155:AE155"/>
    <mergeCell ref="AA156:AE156"/>
    <mergeCell ref="W153:Z153"/>
    <mergeCell ref="W154:Z154"/>
    <mergeCell ref="W155:Z155"/>
    <mergeCell ref="W156:Z156"/>
    <mergeCell ref="Q182:S182"/>
    <mergeCell ref="Q167:S167"/>
    <mergeCell ref="M151:Q152"/>
    <mergeCell ref="M153:Q153"/>
    <mergeCell ref="M154:Q154"/>
    <mergeCell ref="M155:Q155"/>
    <mergeCell ref="M156:Q156"/>
    <mergeCell ref="F151:G152"/>
    <mergeCell ref="H153:L153"/>
    <mergeCell ref="R153:V153"/>
    <mergeCell ref="E196:J196"/>
    <mergeCell ref="Q185:S185"/>
    <mergeCell ref="Q186:S186"/>
    <mergeCell ref="Q88:S88"/>
    <mergeCell ref="Q89:S89"/>
    <mergeCell ref="Q107:S107"/>
    <mergeCell ref="Q110:S110"/>
    <mergeCell ref="Q106:S106"/>
    <mergeCell ref="Q105:S105"/>
    <mergeCell ref="A195:D195"/>
    <mergeCell ref="K192:N193"/>
    <mergeCell ref="O192:R193"/>
    <mergeCell ref="S192:V193"/>
    <mergeCell ref="K194:N194"/>
    <mergeCell ref="K195:N195"/>
    <mergeCell ref="O194:R194"/>
    <mergeCell ref="O195:R195"/>
    <mergeCell ref="S194:V194"/>
    <mergeCell ref="S195:V195"/>
    <mergeCell ref="E192:J193"/>
    <mergeCell ref="E194:J194"/>
    <mergeCell ref="E195:J195"/>
    <mergeCell ref="A192:D193"/>
    <mergeCell ref="A194:D194"/>
    <mergeCell ref="P178:X178"/>
    <mergeCell ref="Q179:S179"/>
    <mergeCell ref="Q181:S181"/>
    <mergeCell ref="Q93:S93"/>
    <mergeCell ref="Q101:S101"/>
    <mergeCell ref="A74:AE75"/>
    <mergeCell ref="Q36:S36"/>
    <mergeCell ref="Q37:S37"/>
    <mergeCell ref="Q35:S35"/>
    <mergeCell ref="Q20:S20"/>
    <mergeCell ref="G66:W66"/>
    <mergeCell ref="Q118:S118"/>
    <mergeCell ref="Q38:S38"/>
    <mergeCell ref="A70:D70"/>
    <mergeCell ref="U69:W69"/>
    <mergeCell ref="U70:W70"/>
    <mergeCell ref="F69:H69"/>
    <mergeCell ref="K69:M69"/>
    <mergeCell ref="Q41:S41"/>
    <mergeCell ref="Q39:S39"/>
    <mergeCell ref="Q40:S40"/>
    <mergeCell ref="P69:R69"/>
    <mergeCell ref="F70:H70"/>
    <mergeCell ref="K70:M70"/>
    <mergeCell ref="P70:R70"/>
    <mergeCell ref="Q86:S86"/>
    <mergeCell ref="Q87:S87"/>
    <mergeCell ref="Q16:S16"/>
    <mergeCell ref="Q17:S17"/>
    <mergeCell ref="Q30:S30"/>
    <mergeCell ref="Q31:S31"/>
    <mergeCell ref="Q32:S32"/>
    <mergeCell ref="Q33:S33"/>
    <mergeCell ref="Q23:S23"/>
    <mergeCell ref="Q26:S26"/>
    <mergeCell ref="Q34:S34"/>
    <mergeCell ref="A142:G142"/>
    <mergeCell ref="Q120:S120"/>
    <mergeCell ref="I128:L128"/>
    <mergeCell ref="Q128:T128"/>
    <mergeCell ref="Q97:S97"/>
    <mergeCell ref="Q123:S123"/>
    <mergeCell ref="Q144:V144"/>
    <mergeCell ref="Q145:V145"/>
    <mergeCell ref="Q146:V146"/>
    <mergeCell ref="Q124:S124"/>
    <mergeCell ref="Q119:S119"/>
    <mergeCell ref="Q121:S121"/>
    <mergeCell ref="Q122:S122"/>
    <mergeCell ref="Q114:S114"/>
    <mergeCell ref="Q111:S111"/>
    <mergeCell ref="Q117:S117"/>
    <mergeCell ref="Q103:S103"/>
    <mergeCell ref="Q102:S102"/>
    <mergeCell ref="Q109:S109"/>
    <mergeCell ref="Q108:S108"/>
    <mergeCell ref="M128:P128"/>
    <mergeCell ref="M129:P129"/>
    <mergeCell ref="M130:P130"/>
    <mergeCell ref="M131:P131"/>
    <mergeCell ref="A146:G146"/>
    <mergeCell ref="K146:M146"/>
    <mergeCell ref="N146:P146"/>
    <mergeCell ref="A144:G144"/>
    <mergeCell ref="H144:J144"/>
    <mergeCell ref="K144:M144"/>
    <mergeCell ref="N144:P144"/>
    <mergeCell ref="A145:G145"/>
    <mergeCell ref="H145:J145"/>
    <mergeCell ref="K145:M145"/>
    <mergeCell ref="N145:P145"/>
    <mergeCell ref="H146:J146"/>
    <mergeCell ref="H142:J142"/>
    <mergeCell ref="H155:L155"/>
    <mergeCell ref="R155:V155"/>
    <mergeCell ref="H156:L156"/>
    <mergeCell ref="R156:V156"/>
    <mergeCell ref="H154:L154"/>
    <mergeCell ref="R154:V154"/>
    <mergeCell ref="AC174:AE174"/>
    <mergeCell ref="D173:M173"/>
    <mergeCell ref="D174:M174"/>
    <mergeCell ref="AC171:AE172"/>
    <mergeCell ref="AC173:AE173"/>
    <mergeCell ref="D171:M172"/>
    <mergeCell ref="H151:L152"/>
    <mergeCell ref="W151:Z152"/>
    <mergeCell ref="K142:M142"/>
    <mergeCell ref="N142:P142"/>
    <mergeCell ref="A143:G143"/>
    <mergeCell ref="H143:J143"/>
    <mergeCell ref="K143:M143"/>
    <mergeCell ref="N143:P143"/>
    <mergeCell ref="R151:V152"/>
    <mergeCell ref="Q142:V142"/>
    <mergeCell ref="Q143:V143"/>
    <mergeCell ref="Q104:S104"/>
    <mergeCell ref="A128:C128"/>
    <mergeCell ref="A135:C135"/>
    <mergeCell ref="A138:C138"/>
    <mergeCell ref="A134:C134"/>
    <mergeCell ref="A133:C133"/>
    <mergeCell ref="A132:C132"/>
    <mergeCell ref="A131:C131"/>
    <mergeCell ref="A130:C130"/>
    <mergeCell ref="A129:C129"/>
    <mergeCell ref="A136:C136"/>
    <mergeCell ref="D136:H136"/>
    <mergeCell ref="I136:L136"/>
    <mergeCell ref="M136:P136"/>
    <mergeCell ref="Q136:T136"/>
    <mergeCell ref="A137:C137"/>
    <mergeCell ref="D137:H137"/>
    <mergeCell ref="D130:H130"/>
    <mergeCell ref="D131:H131"/>
    <mergeCell ref="D132:H132"/>
    <mergeCell ref="D133:H133"/>
    <mergeCell ref="D134:H134"/>
    <mergeCell ref="D135:H135"/>
    <mergeCell ref="D138:H138"/>
    <mergeCell ref="Q204:S204"/>
    <mergeCell ref="Q205:S205"/>
    <mergeCell ref="Q209:S209"/>
    <mergeCell ref="Q210:S210"/>
    <mergeCell ref="Q184:S184"/>
    <mergeCell ref="Q166:S166"/>
    <mergeCell ref="Q168:S168"/>
    <mergeCell ref="K196:N196"/>
    <mergeCell ref="O196:R196"/>
    <mergeCell ref="S196:V196"/>
    <mergeCell ref="K197:N197"/>
    <mergeCell ref="O197:R197"/>
    <mergeCell ref="S197:V197"/>
    <mergeCell ref="K199:N199"/>
    <mergeCell ref="O199:R199"/>
    <mergeCell ref="S199:V199"/>
    <mergeCell ref="Q208:S208"/>
    <mergeCell ref="Q207:S207"/>
    <mergeCell ref="Q206:S206"/>
    <mergeCell ref="Q180:S180"/>
    <mergeCell ref="E197:J197"/>
    <mergeCell ref="A417:AC418"/>
    <mergeCell ref="Q422:S422"/>
    <mergeCell ref="Q388:S388"/>
    <mergeCell ref="Q309:S309"/>
    <mergeCell ref="Q389:S389"/>
    <mergeCell ref="F153:G153"/>
    <mergeCell ref="F154:G154"/>
    <mergeCell ref="F155:G155"/>
    <mergeCell ref="F156:G156"/>
    <mergeCell ref="Q310:S310"/>
    <mergeCell ref="Q311:S311"/>
    <mergeCell ref="A196:D196"/>
    <mergeCell ref="A197:D197"/>
    <mergeCell ref="A200:D200"/>
    <mergeCell ref="K200:N200"/>
    <mergeCell ref="O200:R200"/>
    <mergeCell ref="S200:V200"/>
    <mergeCell ref="E200:J200"/>
    <mergeCell ref="A198:D198"/>
    <mergeCell ref="K198:N198"/>
    <mergeCell ref="O198:R198"/>
    <mergeCell ref="S198:V198"/>
    <mergeCell ref="A199:D199"/>
    <mergeCell ref="Q358:S358"/>
    <mergeCell ref="Q426:S426"/>
    <mergeCell ref="Q427:S427"/>
    <mergeCell ref="Q428:S428"/>
    <mergeCell ref="V219:AE220"/>
    <mergeCell ref="V221:AE233"/>
    <mergeCell ref="V251:AE252"/>
    <mergeCell ref="V253:AE262"/>
    <mergeCell ref="V274:AE275"/>
    <mergeCell ref="Q425:S425"/>
    <mergeCell ref="Q381:S381"/>
    <mergeCell ref="Q382:S382"/>
    <mergeCell ref="Q383:S383"/>
    <mergeCell ref="Q396:S396"/>
    <mergeCell ref="Q394:S394"/>
    <mergeCell ref="Q395:S395"/>
    <mergeCell ref="Q400:S400"/>
    <mergeCell ref="Q401:S401"/>
    <mergeCell ref="Q402:S402"/>
    <mergeCell ref="O403:U403"/>
    <mergeCell ref="O391:U391"/>
    <mergeCell ref="Q308:S308"/>
    <mergeCell ref="Q324:S324"/>
    <mergeCell ref="Q317:T317"/>
  </mergeCells>
  <conditionalFormatting sqref="O391">
    <cfRule type="cellIs" dxfId="133" priority="25" operator="equal">
      <formula>"No Good!"</formula>
    </cfRule>
    <cfRule type="cellIs" dxfId="132" priority="26" operator="equal">
      <formula>"OK!"</formula>
    </cfRule>
  </conditionalFormatting>
  <conditionalFormatting sqref="O403">
    <cfRule type="cellIs" dxfId="131" priority="17" operator="equal">
      <formula>"No Good!"</formula>
    </cfRule>
    <cfRule type="cellIs" dxfId="130" priority="18" operator="equal">
      <formula>"OK!"</formula>
    </cfRule>
  </conditionalFormatting>
  <conditionalFormatting sqref="Q206:S206">
    <cfRule type="cellIs" dxfId="129" priority="40" operator="equal">
      <formula>"&gt;"</formula>
    </cfRule>
    <cfRule type="cellIs" dxfId="128" priority="39" operator="equal">
      <formula>"&lt;"</formula>
    </cfRule>
  </conditionalFormatting>
  <conditionalFormatting sqref="Q211:S211">
    <cfRule type="cellIs" dxfId="127" priority="38" operator="equal">
      <formula>"&gt;"</formula>
    </cfRule>
    <cfRule type="cellIs" dxfId="126" priority="37" operator="equal">
      <formula>"&lt;"</formula>
    </cfRule>
  </conditionalFormatting>
  <conditionalFormatting sqref="Q315:S315 V315:X316">
    <cfRule type="cellIs" dxfId="125" priority="52" operator="equal">
      <formula>"&gt;"</formula>
    </cfRule>
    <cfRule type="cellIs" dxfId="124" priority="51" operator="equal">
      <formula>"&lt;"</formula>
    </cfRule>
  </conditionalFormatting>
  <conditionalFormatting sqref="Q361:S361">
    <cfRule type="cellIs" dxfId="123" priority="33" operator="equal">
      <formula>"&gt;"</formula>
    </cfRule>
    <cfRule type="cellIs" dxfId="122" priority="34" operator="equal">
      <formula>"&lt;"</formula>
    </cfRule>
  </conditionalFormatting>
  <conditionalFormatting sqref="Q382:S382">
    <cfRule type="cellIs" dxfId="121" priority="23" operator="equal">
      <formula>"&lt;"</formula>
    </cfRule>
    <cfRule type="cellIs" dxfId="120" priority="24" operator="equal">
      <formula>"&gt;"</formula>
    </cfRule>
  </conditionalFormatting>
  <conditionalFormatting sqref="Q389:S389">
    <cfRule type="cellIs" dxfId="119" priority="27" operator="equal">
      <formula>"&lt;"</formula>
    </cfRule>
    <cfRule type="cellIs" dxfId="118" priority="28" operator="equal">
      <formula>"&gt;"</formula>
    </cfRule>
  </conditionalFormatting>
  <conditionalFormatting sqref="Q401:S401">
    <cfRule type="cellIs" dxfId="117" priority="19" operator="equal">
      <formula>"&gt;"</formula>
    </cfRule>
    <cfRule type="cellIs" dxfId="116" priority="20" operator="equal">
      <formula>"&lt;"</formula>
    </cfRule>
  </conditionalFormatting>
  <conditionalFormatting sqref="Q409:S409">
    <cfRule type="cellIs" dxfId="115" priority="31" operator="equal">
      <formula>"&gt;"</formula>
    </cfRule>
    <cfRule type="cellIs" dxfId="114" priority="32" operator="equal">
      <formula>"&lt;"</formula>
    </cfRule>
  </conditionalFormatting>
  <conditionalFormatting sqref="Q411:S413">
    <cfRule type="cellIs" dxfId="113" priority="29" operator="equal">
      <formula>"Resize Section"</formula>
    </cfRule>
    <cfRule type="cellIs" dxfId="112" priority="30" operator="equal">
      <formula>"OK!"</formula>
    </cfRule>
  </conditionalFormatting>
  <conditionalFormatting sqref="Q426:S426">
    <cfRule type="cellIs" dxfId="111" priority="15" operator="equal">
      <formula>"&gt;"</formula>
    </cfRule>
    <cfRule type="cellIs" dxfId="110" priority="16" operator="equal">
      <formula>"&lt;"</formula>
    </cfRule>
  </conditionalFormatting>
  <conditionalFormatting sqref="Q428:S428">
    <cfRule type="cellIs" dxfId="109" priority="13" operator="equal">
      <formula>"Resize Section"</formula>
    </cfRule>
    <cfRule type="cellIs" dxfId="108" priority="14" operator="equal">
      <formula>"OK!"</formula>
    </cfRule>
  </conditionalFormatting>
  <conditionalFormatting sqref="Q456:S456">
    <cfRule type="cellIs" dxfId="68" priority="11" operator="equal">
      <formula>"&gt;"</formula>
    </cfRule>
    <cfRule type="cellIs" dxfId="67" priority="12" operator="equal">
      <formula>"&lt;"</formula>
    </cfRule>
  </conditionalFormatting>
  <conditionalFormatting sqref="Q458:S458 Q488">
    <cfRule type="cellIs" dxfId="70" priority="9" operator="equal">
      <formula>"Resize Section Length"</formula>
    </cfRule>
    <cfRule type="cellIs" dxfId="69" priority="10" operator="equal">
      <formula>"OK!"</formula>
    </cfRule>
  </conditionalFormatting>
  <conditionalFormatting sqref="Q486:S486">
    <cfRule type="cellIs" dxfId="72" priority="7" operator="equal">
      <formula>"&gt;"</formula>
    </cfRule>
    <cfRule type="cellIs" dxfId="71" priority="8" operator="equal">
      <formula>"&lt;"</formula>
    </cfRule>
  </conditionalFormatting>
  <conditionalFormatting sqref="R384">
    <cfRule type="cellIs" dxfId="107" priority="21" operator="equal">
      <formula>"No Good!"</formula>
    </cfRule>
    <cfRule type="cellIs" dxfId="106" priority="22" operator="equal">
      <formula>"OK!"</formula>
    </cfRule>
  </conditionalFormatting>
  <conditionalFormatting sqref="T93:T94">
    <cfRule type="cellIs" dxfId="105" priority="62" operator="equal">
      <formula>"ok"</formula>
    </cfRule>
    <cfRule type="cellIs" dxfId="104" priority="61" operator="equal">
      <formula>"no good"</formula>
    </cfRule>
  </conditionalFormatting>
  <conditionalFormatting sqref="T97:T98">
    <cfRule type="cellIs" dxfId="103" priority="42" operator="equal">
      <formula>"ok"</formula>
    </cfRule>
    <cfRule type="cellIs" dxfId="102" priority="41" operator="equal">
      <formula>"no good"</formula>
    </cfRule>
  </conditionalFormatting>
  <conditionalFormatting sqref="T102">
    <cfRule type="cellIs" dxfId="101" priority="70" operator="equal">
      <formula>"ok"</formula>
    </cfRule>
    <cfRule type="cellIs" dxfId="100" priority="69" operator="equal">
      <formula>"no good"</formula>
    </cfRule>
  </conditionalFormatting>
  <conditionalFormatting sqref="T105:T107">
    <cfRule type="cellIs" dxfId="99" priority="66" operator="equal">
      <formula>"ok"</formula>
    </cfRule>
    <cfRule type="cellIs" dxfId="98" priority="65" operator="equal">
      <formula>"no good"</formula>
    </cfRule>
  </conditionalFormatting>
  <conditionalFormatting sqref="T110:T112">
    <cfRule type="cellIs" dxfId="97" priority="43" operator="equal">
      <formula>"no good"</formula>
    </cfRule>
    <cfRule type="cellIs" dxfId="96" priority="44" operator="equal">
      <formula>"ok"</formula>
    </cfRule>
  </conditionalFormatting>
  <conditionalFormatting sqref="T117:T124">
    <cfRule type="cellIs" dxfId="95" priority="36" operator="equal">
      <formula>"ok"</formula>
    </cfRule>
    <cfRule type="cellIs" dxfId="94" priority="35" operator="equal">
      <formula>"no good"</formula>
    </cfRule>
  </conditionalFormatting>
  <conditionalFormatting sqref="T209">
    <cfRule type="cellIs" dxfId="93" priority="56" operator="equal">
      <formula>"ok"</formula>
    </cfRule>
    <cfRule type="cellIs" dxfId="92" priority="55" operator="equal">
      <formula>"no good"</formula>
    </cfRule>
  </conditionalFormatting>
  <conditionalFormatting sqref="T307 T310:T312 T314:T315">
    <cfRule type="cellIs" dxfId="91" priority="53" operator="equal">
      <formula>"no good"</formula>
    </cfRule>
    <cfRule type="cellIs" dxfId="90" priority="54" operator="equal">
      <formula>"ok"</formula>
    </cfRule>
  </conditionalFormatting>
  <conditionalFormatting sqref="AE315:AE316 Q317 AC328:AC331">
    <cfRule type="cellIs" dxfId="89" priority="49" operator="equal">
      <formula>"NO GOOD!"</formula>
    </cfRule>
    <cfRule type="cellIs" dxfId="88" priority="50" operator="equal">
      <formula>"OK!"</formula>
    </cfRule>
  </conditionalFormatting>
  <conditionalFormatting sqref="AK167:AK170">
    <cfRule type="containsText" dxfId="87" priority="99" operator="containsText" text="fails">
      <formula>NOT(ISERROR(SEARCH("fails",AK167)))</formula>
    </cfRule>
    <cfRule type="containsText" dxfId="86" priority="100" operator="containsText" text="ok">
      <formula>NOT(ISERROR(SEARCH("ok",AK167)))</formula>
    </cfRule>
  </conditionalFormatting>
  <conditionalFormatting sqref="AL166">
    <cfRule type="containsText" dxfId="85" priority="106" operator="containsText" text="ok">
      <formula>NOT(ISERROR(SEARCH("ok",AL166)))</formula>
    </cfRule>
    <cfRule type="containsText" dxfId="84" priority="105" operator="containsText" text="fails">
      <formula>NOT(ISERROR(SEARCH("fails",AL166)))</formula>
    </cfRule>
  </conditionalFormatting>
  <conditionalFormatting sqref="AN12:AO12 AG13:AG15 AP14 BE14:BE15 AY15:BD15 AW16 O43:W43">
    <cfRule type="containsText" dxfId="83" priority="93" operator="containsText" text="FAILS">
      <formula>NOT(ISERROR(SEARCH("FAILS",O12)))</formula>
    </cfRule>
    <cfRule type="cellIs" dxfId="82" priority="92" operator="equal">
      <formula>"NG"</formula>
    </cfRule>
    <cfRule type="containsText" dxfId="81" priority="94" operator="containsText" text="OK">
      <formula>NOT(ISERROR(SEARCH("OK",O12)))</formula>
    </cfRule>
  </conditionalFormatting>
  <conditionalFormatting sqref="AX456">
    <cfRule type="cellIs" dxfId="80" priority="4" operator="equal">
      <formula>"OK!"</formula>
    </cfRule>
    <cfRule type="cellIs" dxfId="79" priority="3" operator="equal">
      <formula>"Resize Section Length"</formula>
    </cfRule>
  </conditionalFormatting>
  <conditionalFormatting sqref="AX454:AZ454">
    <cfRule type="cellIs" dxfId="78" priority="2" operator="equal">
      <formula>"&lt;"</formula>
    </cfRule>
    <cfRule type="cellIs" dxfId="77" priority="1" operator="equal">
      <formula>"&gt;"</formula>
    </cfRule>
  </conditionalFormatting>
  <conditionalFormatting sqref="BG63:BI63">
    <cfRule type="cellIs" dxfId="76" priority="72" operator="equal">
      <formula>"ok"</formula>
    </cfRule>
    <cfRule type="cellIs" dxfId="75" priority="71" operator="equal">
      <formula>"no good"</formula>
    </cfRule>
  </conditionalFormatting>
  <conditionalFormatting sqref="BH61:BK61 BH62:BI62 BL65 BH65:BK66">
    <cfRule type="cellIs" dxfId="74" priority="74" operator="equal">
      <formula>"ok"</formula>
    </cfRule>
    <cfRule type="cellIs" dxfId="73" priority="73" operator="equal">
      <formula>"no good"</formula>
    </cfRule>
  </conditionalFormatting>
  <dataValidations disablePrompts="1" count="4">
    <dataValidation type="list" allowBlank="1" showInputMessage="1" showErrorMessage="1" sqref="P319" xr:uid="{00000000-0002-0000-0000-000000000000}">
      <formula1>$AM$170:$AO$170</formula1>
    </dataValidation>
    <dataValidation type="list" allowBlank="1" showInputMessage="1" showErrorMessage="1" sqref="Q238 P344:S344 P177:R177 P229:S229 P284:S284 P299:Q299 Q262:S262 P253:S253 Q359 P293:Q293" xr:uid="{00000000-0002-0000-0000-000001000000}">
      <formula1>_xlnm.Criteria</formula1>
    </dataValidation>
    <dataValidation type="list" allowBlank="1" showInputMessage="1" showErrorMessage="1" sqref="P318" xr:uid="{00000000-0002-0000-0000-000002000000}">
      <formula1>#REF!</formula1>
    </dataValidation>
    <dataValidation type="list" allowBlank="1" showInputMessage="1" showErrorMessage="1" sqref="Q93:S93 Q97:S97" xr:uid="{00000000-0002-0000-0000-000003000000}">
      <formula1>$BF$1:$BF$2</formula1>
    </dataValidation>
  </dataValidations>
  <pageMargins left="1" right="1" top="1" bottom="1" header="0.7" footer="0.7"/>
  <pageSetup scale="90" fitToWidth="0" fitToHeight="0" orientation="portrait" r:id="rId1"/>
  <headerFooter>
    <oddHeader>&amp;L&amp;"Arial,Italic"&amp;9EXAMPLE 10 - SIGN STRUCTURE FOUNDATION DESIGN
=================================================================================================
&amp;R&amp;"Arial,Italic"&amp;9&amp;P</oddHeader>
    <oddFooter>&amp;L&amp;"Arial,Italic"&amp;9=================================================================================================
CDOT Bridge Design Manual&amp;R&amp;"Arial,Italic"&amp;9
January 2018</oddFooter>
  </headerFooter>
  <rowBreaks count="11" manualBreakCount="11">
    <brk id="43" max="30" man="1"/>
    <brk id="83" max="30" man="1"/>
    <brk id="125" max="30" man="1"/>
    <brk id="158" max="30" man="1"/>
    <brk id="201" max="30" man="1"/>
    <brk id="244" max="30" man="1"/>
    <brk id="271" max="30" man="1"/>
    <brk id="300" max="30" man="1"/>
    <brk id="332" max="30" man="1"/>
    <brk id="416" max="30" man="1"/>
    <brk id="459"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Ex.10</vt:lpstr>
      <vt:lpstr>Ex.10!Print_Area</vt:lpstr>
    </vt:vector>
  </TitlesOfParts>
  <Company>Stanley Consultants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Alkanani, Kass</dc:creator>
  <cp:lastModifiedBy>Abraham, Samuel</cp:lastModifiedBy>
  <cp:lastPrinted>2024-02-28T19:32:51Z</cp:lastPrinted>
  <dcterms:created xsi:type="dcterms:W3CDTF">2016-06-07T17:30:15Z</dcterms:created>
  <dcterms:modified xsi:type="dcterms:W3CDTF">2024-02-28T19:33:23Z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
  </property>
  <property fmtid="{D5CDD505-2E9C-101B-9397-08002B2CF9AE}" pid="3" name="Folder_Code">
    <vt:lpwstr/>
  </property>
  <property fmtid="{D5CDD505-2E9C-101B-9397-08002B2CF9AE}" pid="4" name="Folder_Name">
    <vt:lpwstr/>
  </property>
  <property fmtid="{D5CDD505-2E9C-101B-9397-08002B2CF9AE}" pid="5" name="Folder_Description">
    <vt:lpwstr/>
  </property>
  <property fmtid="{D5CDD505-2E9C-101B-9397-08002B2CF9AE}" pid="6" name="/Folder_Name/">
    <vt:lpwstr/>
  </property>
  <property fmtid="{D5CDD505-2E9C-101B-9397-08002B2CF9AE}" pid="7" name="/Folder_Description/">
    <vt:lpwstr/>
  </property>
  <property fmtid="{D5CDD505-2E9C-101B-9397-08002B2CF9AE}" pid="8" name="Folder_Version">
    <vt:lpwstr/>
  </property>
  <property fmtid="{D5CDD505-2E9C-101B-9397-08002B2CF9AE}" pid="9" name="Folder_VersionSeq">
    <vt:lpwstr/>
  </property>
  <property fmtid="{D5CDD505-2E9C-101B-9397-08002B2CF9AE}" pid="10" name="Folder_Manager">
    <vt:lpwstr/>
  </property>
  <property fmtid="{D5CDD505-2E9C-101B-9397-08002B2CF9AE}" pid="11" name="Folder_ManagerDesc">
    <vt:lpwstr/>
  </property>
  <property fmtid="{D5CDD505-2E9C-101B-9397-08002B2CF9AE}" pid="12" name="Folder_Storage">
    <vt:lpwstr/>
  </property>
  <property fmtid="{D5CDD505-2E9C-101B-9397-08002B2CF9AE}" pid="13" name="Folder_StorageDesc">
    <vt:lpwstr/>
  </property>
  <property fmtid="{D5CDD505-2E9C-101B-9397-08002B2CF9AE}" pid="14" name="Folder_Creator">
    <vt:lpwstr/>
  </property>
  <property fmtid="{D5CDD505-2E9C-101B-9397-08002B2CF9AE}" pid="15" name="Folder_CreatorDesc">
    <vt:lpwstr/>
  </property>
  <property fmtid="{D5CDD505-2E9C-101B-9397-08002B2CF9AE}" pid="16" name="Folder_CreateDate">
    <vt:lpwstr/>
  </property>
  <property fmtid="{D5CDD505-2E9C-101B-9397-08002B2CF9AE}" pid="17" name="Folder_Updater">
    <vt:lpwstr/>
  </property>
  <property fmtid="{D5CDD505-2E9C-101B-9397-08002B2CF9AE}" pid="18" name="Folder_UpdaterDesc">
    <vt:lpwstr/>
  </property>
  <property fmtid="{D5CDD505-2E9C-101B-9397-08002B2CF9AE}" pid="19" name="Folder_UpdateDate">
    <vt:lpwstr/>
  </property>
  <property fmtid="{D5CDD505-2E9C-101B-9397-08002B2CF9AE}" pid="20" name="Document_Number">
    <vt:lpwstr/>
  </property>
  <property fmtid="{D5CDD505-2E9C-101B-9397-08002B2CF9AE}" pid="21" name="Document_Name">
    <vt:lpwstr/>
  </property>
  <property fmtid="{D5CDD505-2E9C-101B-9397-08002B2CF9AE}" pid="22" name="Document_FileName">
    <vt:lpwstr/>
  </property>
  <property fmtid="{D5CDD505-2E9C-101B-9397-08002B2CF9AE}" pid="23" name="Document_Version">
    <vt:lpwstr/>
  </property>
  <property fmtid="{D5CDD505-2E9C-101B-9397-08002B2CF9AE}" pid="24" name="Document_VersionSeq">
    <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ies>
</file>