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Z:\011 Rating and Standards 0223\Active Projects\Design Manual Updates\Working Area\ReadytoPublish\"/>
    </mc:Choice>
  </mc:AlternateContent>
  <xr:revisionPtr revIDLastSave="0" documentId="13_ncr:1_{96D1F5ED-D264-4C07-B53E-0590E4DBAB51}" xr6:coauthVersionLast="47" xr6:coauthVersionMax="47" xr10:uidLastSave="{00000000-0000-0000-0000-000000000000}"/>
  <bookViews>
    <workbookView xWindow="28680" yWindow="-195" windowWidth="29040" windowHeight="18240" tabRatio="732" xr2:uid="{00000000-000D-0000-FFFF-FFFF00000000}"/>
  </bookViews>
  <sheets>
    <sheet name="Type II (PTFE) - Method B" sheetId="17" r:id="rId1"/>
  </sheets>
  <definedNames>
    <definedName name="_Ref421113084" localSheetId="0">'Type II (PTFE) - Method B'!#REF!</definedName>
    <definedName name="Material">#REF!</definedName>
    <definedName name="_xlnm.Print_Area" localSheetId="0">'Type II (PTFE) - Method B'!$A$1:$L$496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5" i="17" l="1"/>
  <c r="E357" i="17" l="1"/>
  <c r="E23" i="17" l="1"/>
  <c r="F454" i="17" l="1"/>
  <c r="C454" i="17"/>
  <c r="I207" i="17"/>
  <c r="F207" i="17"/>
  <c r="I195" i="17"/>
  <c r="F195" i="17"/>
  <c r="D173" i="17" l="1"/>
  <c r="D168" i="17"/>
  <c r="D163" i="17"/>
  <c r="D157" i="17"/>
  <c r="E40" i="17"/>
  <c r="D245" i="17" s="1"/>
  <c r="E39" i="17"/>
  <c r="E25" i="17"/>
  <c r="G25" i="17" s="1"/>
  <c r="E24" i="17" l="1"/>
  <c r="J340" i="17"/>
  <c r="E340" i="17"/>
  <c r="D461" i="17"/>
  <c r="E344" i="17"/>
  <c r="I344" i="17"/>
  <c r="D249" i="17" l="1"/>
  <c r="D363" i="17"/>
  <c r="F363" i="17"/>
  <c r="G130" i="17" l="1"/>
  <c r="D486" i="17"/>
  <c r="D487" i="17"/>
  <c r="C232" i="17"/>
  <c r="D232" i="17"/>
  <c r="I481" i="17" l="1"/>
  <c r="E490" i="17" s="1"/>
  <c r="E492" i="17"/>
  <c r="E481" i="17"/>
  <c r="G232" i="17"/>
  <c r="E232" i="17"/>
  <c r="D193" i="17" l="1"/>
  <c r="F193" i="17"/>
  <c r="E27" i="17"/>
  <c r="G27" i="17" s="1"/>
  <c r="D440" i="17" l="1"/>
  <c r="D438" i="17"/>
  <c r="F436" i="17"/>
  <c r="D436" i="17"/>
  <c r="E433" i="17"/>
  <c r="E427" i="17"/>
  <c r="H392" i="17"/>
  <c r="H390" i="17"/>
  <c r="H389" i="17"/>
  <c r="G173" i="17"/>
  <c r="G168" i="17"/>
  <c r="G163" i="17"/>
  <c r="I157" i="17"/>
  <c r="H134" i="17"/>
  <c r="H41" i="17"/>
  <c r="G19" i="17"/>
  <c r="G461" i="17" l="1"/>
  <c r="G191" i="17"/>
  <c r="D319" i="17"/>
  <c r="F230" i="17"/>
  <c r="F233" i="17" s="1"/>
  <c r="G151" i="17"/>
  <c r="C151" i="17"/>
  <c r="H270" i="17"/>
  <c r="E270" i="17"/>
  <c r="F386" i="17"/>
  <c r="G432" i="17"/>
  <c r="F440" i="17" s="1"/>
  <c r="H440" i="17" s="1"/>
  <c r="E322" i="17"/>
  <c r="G226" i="17"/>
  <c r="E191" i="17"/>
  <c r="D413" i="17"/>
  <c r="D179" i="17"/>
  <c r="D181" i="17"/>
  <c r="H436" i="17"/>
  <c r="E134" i="17"/>
  <c r="E436" i="17"/>
  <c r="E319" i="17"/>
  <c r="D320" i="17"/>
  <c r="D323" i="17"/>
  <c r="D399" i="17"/>
  <c r="E382" i="17"/>
  <c r="D409" i="17"/>
  <c r="I385" i="17"/>
  <c r="G392" i="17" s="1"/>
  <c r="E286" i="17"/>
  <c r="D402" i="17"/>
  <c r="G426" i="17"/>
  <c r="F438" i="17" s="1"/>
  <c r="D322" i="17"/>
  <c r="E426" i="17"/>
  <c r="E432" i="17"/>
  <c r="H286" i="17"/>
  <c r="G289" i="17" l="1"/>
  <c r="E289" i="17"/>
  <c r="F273" i="17"/>
  <c r="F275" i="17" s="1"/>
  <c r="D273" i="17"/>
  <c r="F231" i="17"/>
  <c r="F232" i="17" s="1"/>
  <c r="J230" i="17" s="1"/>
  <c r="E440" i="17"/>
  <c r="E210" i="17"/>
  <c r="I198" i="17"/>
  <c r="E201" i="17" s="1"/>
  <c r="E198" i="17"/>
  <c r="I210" i="17"/>
  <c r="E213" i="17" s="1"/>
  <c r="D460" i="17"/>
  <c r="E460" i="17"/>
  <c r="H456" i="17"/>
  <c r="G460" i="17" s="1"/>
  <c r="F456" i="17"/>
  <c r="G372" i="17"/>
  <c r="J372" i="17" s="1"/>
  <c r="H181" i="17"/>
  <c r="E181" i="17"/>
  <c r="H179" i="17"/>
  <c r="E179" i="17"/>
  <c r="E381" i="17"/>
  <c r="I381" i="17"/>
  <c r="D410" i="17" s="1"/>
  <c r="E438" i="17"/>
  <c r="H438" i="17"/>
  <c r="G275" i="17" l="1"/>
  <c r="I275" i="17"/>
  <c r="H240" i="17"/>
  <c r="E240" i="17"/>
  <c r="H372" i="17"/>
  <c r="F294" i="17"/>
  <c r="D294" i="17"/>
  <c r="I213" i="17"/>
  <c r="D220" i="17" s="1"/>
  <c r="I201" i="17"/>
  <c r="D218" i="17" s="1"/>
  <c r="D392" i="17"/>
  <c r="D400" i="17"/>
  <c r="E392" i="17"/>
  <c r="I392" i="17" s="1"/>
  <c r="F409" i="17"/>
  <c r="F413" i="17" s="1"/>
  <c r="E413" i="17" s="1"/>
  <c r="F399" i="17"/>
  <c r="F402" i="17" s="1"/>
  <c r="E402" i="17" s="1"/>
  <c r="H460" i="17"/>
  <c r="I460" i="17" s="1"/>
  <c r="J460" i="17" s="1"/>
  <c r="F244" i="17" l="1"/>
  <c r="H490" i="17" s="1"/>
  <c r="F490" i="17" s="1"/>
  <c r="H492" i="17"/>
  <c r="F460" i="17"/>
  <c r="E220" i="17"/>
  <c r="H220" i="17"/>
  <c r="H218" i="17"/>
  <c r="E218" i="17"/>
  <c r="H413" i="17"/>
  <c r="I413" i="17" s="1"/>
  <c r="F392" i="17"/>
  <c r="H402" i="17"/>
  <c r="I402" i="17" s="1"/>
  <c r="E355" i="17" l="1"/>
  <c r="F253" i="17"/>
  <c r="F492" i="17"/>
  <c r="I492" i="17"/>
  <c r="D360" i="17"/>
  <c r="F360" i="17"/>
  <c r="D244" i="17" l="1"/>
  <c r="E247" i="17" l="1"/>
  <c r="F249" i="17" s="1"/>
  <c r="E253" i="17"/>
  <c r="D247" i="17"/>
  <c r="B370" i="17" l="1"/>
  <c r="I490" i="17"/>
  <c r="E249" i="17"/>
  <c r="H249" i="17"/>
  <c r="G370" i="17" l="1"/>
  <c r="H370" i="17" l="1"/>
  <c r="J370" i="17"/>
</calcChain>
</file>

<file path=xl/sharedStrings.xml><?xml version="1.0" encoding="utf-8"?>
<sst xmlns="http://schemas.openxmlformats.org/spreadsheetml/2006/main" count="287" uniqueCount="224">
  <si>
    <t>APPENDIX A</t>
  </si>
  <si>
    <t>GENERAL INFORMATION</t>
  </si>
  <si>
    <t>MATERIAL AND SECTION PROPERTIES</t>
  </si>
  <si>
    <t>ksi</t>
  </si>
  <si>
    <t>in</t>
  </si>
  <si>
    <t>kip</t>
  </si>
  <si>
    <t>n =</t>
  </si>
  <si>
    <t>L =</t>
  </si>
  <si>
    <t>DL =</t>
  </si>
  <si>
    <t>Service I Limit State Loads</t>
  </si>
  <si>
    <t>SOLUTION</t>
  </si>
  <si>
    <t>Shape Factor</t>
  </si>
  <si>
    <t>AASHTO 14.5.7.1-1</t>
  </si>
  <si>
    <t>Check =</t>
  </si>
  <si>
    <t>Shear Modulus</t>
  </si>
  <si>
    <t>AASHTO T14.7.6.2-1</t>
  </si>
  <si>
    <t>Check</t>
  </si>
  <si>
    <t>and</t>
  </si>
  <si>
    <t>LL=</t>
  </si>
  <si>
    <t>AASHTO C14.7.5.3.6</t>
  </si>
  <si>
    <t>AASHTO 14.7.5.3.6-1</t>
  </si>
  <si>
    <t>AASHTO C14.7.5.3.6-1</t>
  </si>
  <si>
    <t>Live Load Compressive Deflection</t>
  </si>
  <si>
    <t>Stability</t>
  </si>
  <si>
    <t>Bearing Width</t>
  </si>
  <si>
    <t>Bearing Length</t>
  </si>
  <si>
    <t>2" minimum height per BDM 14.5.8</t>
  </si>
  <si>
    <t>Bearing Dimensions</t>
  </si>
  <si>
    <t>Bearing Material Properties</t>
  </si>
  <si>
    <t>HORIZONTAL MOVEMENT</t>
  </si>
  <si>
    <t>AASHTO 3.12.2.3-1</t>
  </si>
  <si>
    <t xml:space="preserve">  ͦ F</t>
  </si>
  <si>
    <t>in/in/  ͦ F</t>
  </si>
  <si>
    <t xml:space="preserve">ft  = </t>
  </si>
  <si>
    <t>Shrinkage movement</t>
  </si>
  <si>
    <t>Maximum temperature</t>
  </si>
  <si>
    <t>Minimum temperature</t>
  </si>
  <si>
    <t>Coeff. of thermal expansion</t>
  </si>
  <si>
    <t xml:space="preserve">Expansion length </t>
  </si>
  <si>
    <t>Creep movement</t>
  </si>
  <si>
    <t>Elastic shortening</t>
  </si>
  <si>
    <t>Miscellaneous movement</t>
  </si>
  <si>
    <t>METHOD B</t>
  </si>
  <si>
    <t>Total Bearing Height</t>
  </si>
  <si>
    <t>Exterior Elastomeric Thickness</t>
  </si>
  <si>
    <t>Steel Plate Thickness</t>
  </si>
  <si>
    <t>Interior Elastomeric Thickness</t>
  </si>
  <si>
    <t>Elastomer Grade</t>
  </si>
  <si>
    <t>Grade =</t>
  </si>
  <si>
    <t>AASHTO 14.7.5.2</t>
  </si>
  <si>
    <t>AASHTO 6.4.1</t>
  </si>
  <si>
    <t>Total Elastomer Thickness</t>
  </si>
  <si>
    <t>AASHTO 14.7.5.3.2-1</t>
  </si>
  <si>
    <t>AASHTO 14.7.5.3.3</t>
  </si>
  <si>
    <t>No. of Steel Shim Plates</t>
  </si>
  <si>
    <t>AASHTO 14.7.5.3.4</t>
  </si>
  <si>
    <t>where</t>
  </si>
  <si>
    <t>=</t>
  </si>
  <si>
    <t>AASHTO 14.7.5.3.4-2</t>
  </si>
  <si>
    <t>AASHTO 14.5.3.4-1</t>
  </si>
  <si>
    <t>AASHTO 14.7.5.3.4-3</t>
  </si>
  <si>
    <t>Rectangular, steel reinforced bearing shape factor without holes:</t>
  </si>
  <si>
    <t>Note that if L is greater than W, stability shall be investigated by interchanging L and W.</t>
  </si>
  <si>
    <t>If the following is satisfied, no further investigation of stability is required:</t>
  </si>
  <si>
    <t>L=</t>
  </si>
  <si>
    <t>W=</t>
  </si>
  <si>
    <t>For a bridge deck that is free to translate horizontally:</t>
  </si>
  <si>
    <t>AASHTO 14.7.5.3.4-4</t>
  </si>
  <si>
    <t>For a bridge deck that is fixed against horizontal translation:</t>
  </si>
  <si>
    <t>For demonstration only.  Designer shall determine movement capability of bridge on a case by case basis.</t>
  </si>
  <si>
    <t>Reinforcement</t>
  </si>
  <si>
    <t>AASHTO 14.7.5.3.5-1</t>
  </si>
  <si>
    <t>AASHTO 14.7.5.3.5-2</t>
  </si>
  <si>
    <t>The minimum thickness of steel reinforcement shall satisfy the following:</t>
  </si>
  <si>
    <t>Yield Strength of Steel</t>
  </si>
  <si>
    <t>AASHTO T6.6.1.2.3-1</t>
  </si>
  <si>
    <t>AASHTO T6.4.1-1</t>
  </si>
  <si>
    <t>(Service Limit State)</t>
  </si>
  <si>
    <t>(Fatigue Limit State)</t>
  </si>
  <si>
    <t xml:space="preserve"> average compressive stress due to total load from applicable service load combinations</t>
  </si>
  <si>
    <t>AASHTO 14.7.5.3.5</t>
  </si>
  <si>
    <t>Shear Deformations</t>
  </si>
  <si>
    <t>Combined Compression, Rotation, and Shear</t>
  </si>
  <si>
    <t>AASHTO 14.7.5.3.3-1</t>
  </si>
  <si>
    <t>AASHTO 14.7.5.3.3-2</t>
  </si>
  <si>
    <t>Axial Load Shear Strain</t>
  </si>
  <si>
    <t>Axial strain from cyclic loads:</t>
  </si>
  <si>
    <t>Axial strain from static loads:</t>
  </si>
  <si>
    <t>AASHTO 14.7.5.3.3-3</t>
  </si>
  <si>
    <t>where:</t>
  </si>
  <si>
    <t>AASHTO 14.7.5.3.3-4</t>
  </si>
  <si>
    <t xml:space="preserve"> average compressive stress due to live load at the service limit state (cyclic load)</t>
  </si>
  <si>
    <t>Rotational Shear Strain</t>
  </si>
  <si>
    <t>AASHTO 14.7.5.3.3-6</t>
  </si>
  <si>
    <t>Rotational strain from static loads:</t>
  </si>
  <si>
    <t>Rotational strain from cyclic loads:</t>
  </si>
  <si>
    <t>AASHTO 14.7.5.3.3-7</t>
  </si>
  <si>
    <t>Service I Limit State Rotations</t>
  </si>
  <si>
    <t>rad</t>
  </si>
  <si>
    <t>Dead Load Rotations</t>
  </si>
  <si>
    <t>Live Load Rotations</t>
  </si>
  <si>
    <t>Shear Deformation Shear Strain</t>
  </si>
  <si>
    <t>AASHTO 14.7.5.3.3-10</t>
  </si>
  <si>
    <t xml:space="preserve"> average compressive stress due to dead load at the service limit state (static load)</t>
  </si>
  <si>
    <t>Combined Shear Strains Checks</t>
  </si>
  <si>
    <t>Bearing Anchorage</t>
  </si>
  <si>
    <t>AASHTO 14.7.5.4</t>
  </si>
  <si>
    <t>AASHTO 14.7.5.4-1</t>
  </si>
  <si>
    <t>total of static and cyclic average axial strain.  Cyclic component is multiplied by 1.75</t>
  </si>
  <si>
    <t>total of static and cyclic service limit state design rotation. Cyclic component is multiplied by 1.75</t>
  </si>
  <si>
    <t>Compressive stress due to total static load at service limit state</t>
  </si>
  <si>
    <t>Compressive stress due to cyclic load at service limit state</t>
  </si>
  <si>
    <t>AASHTO 14.7.5.3.2 &amp; BDM Section 14.5.3</t>
  </si>
  <si>
    <t>Maximum horizontal displacement of the superstructure</t>
  </si>
  <si>
    <t xml:space="preserve">Maximum shear deformation of the bearing modified to account for substructure stiffness </t>
  </si>
  <si>
    <t>AASHTO 14.8.3</t>
  </si>
  <si>
    <t>AASHTO T3.4.1-1</t>
  </si>
  <si>
    <t>Dead Load Compressive Deflection</t>
  </si>
  <si>
    <t>use at least .005???</t>
  </si>
  <si>
    <t>AASHTO 14.7.5.3.6-2</t>
  </si>
  <si>
    <t>AASHTO 14.7.5.3.6</t>
  </si>
  <si>
    <t>Initial dead load deflection:</t>
  </si>
  <si>
    <t>Long term dead load deflection:</t>
  </si>
  <si>
    <t>AASHTO 14.7.5.3.6-3</t>
  </si>
  <si>
    <t>Bearing Pad Layers</t>
  </si>
  <si>
    <t>Creep Deflection Factor</t>
  </si>
  <si>
    <t>Compressive Deflections</t>
  </si>
  <si>
    <t>AASHTO Method B does not have limitations on initial or long term dead load deflections. The following calculation is for demonstration only. Engineering judgment shall be used in evaluating appropriate allowable deflections in the bearing.</t>
  </si>
  <si>
    <t>AASHTO 14.6.3.1-1</t>
  </si>
  <si>
    <t>Assuming the substructure is stiff enough to prevent movement:</t>
  </si>
  <si>
    <t>Service I Load Factor, TU</t>
  </si>
  <si>
    <t>Anchorage (Bearing Pad Slip)</t>
  </si>
  <si>
    <t>AASHTO 14.6.3.1-2</t>
  </si>
  <si>
    <t>If the Engineer elects to use externally bonded plates, limitations on hydrostatic pressure per AASHTO 14.7.5.3.3-11 shall be satisfied.</t>
  </si>
  <si>
    <t>Coefficient of friction AASHTO C14.8.3.1</t>
  </si>
  <si>
    <t>PTFE</t>
  </si>
  <si>
    <t>AASHTO 14.7.2.3</t>
  </si>
  <si>
    <t>PTFE thickness</t>
  </si>
  <si>
    <t>AASHTO 14.7.2.4</t>
  </si>
  <si>
    <t>Computed Stresses</t>
  </si>
  <si>
    <t>Edge Contact Stresses</t>
  </si>
  <si>
    <t>Average Contact Stresses</t>
  </si>
  <si>
    <t>AASHTO C14.6.3.2-1</t>
  </si>
  <si>
    <t>AASHTO T14.7.2.4-1</t>
  </si>
  <si>
    <t>Coefficient of Friction of PTFE</t>
  </si>
  <si>
    <t>AASHTO 14.7.2.5</t>
  </si>
  <si>
    <t>Pressure (ksi)</t>
  </si>
  <si>
    <t>The deflection of the elastomeric bearing, before first slip of the sliding surface, is estimated as:</t>
  </si>
  <si>
    <t>Combining equations:</t>
  </si>
  <si>
    <t>The remaining movement is accommodated by the movement of the PTFE surface:</t>
  </si>
  <si>
    <t>(Zone C)</t>
  </si>
  <si>
    <t>0.08 ksi &lt; G &lt; 0.175 ksi</t>
  </si>
  <si>
    <t>Steel Shim Properties</t>
  </si>
  <si>
    <t>BEARING ROTATIONS</t>
  </si>
  <si>
    <t>BEARING LOADS</t>
  </si>
  <si>
    <t>BDM 14.5.8, &amp; AASHTO Table &amp; Figure 14.7.5.2-1</t>
  </si>
  <si>
    <t>Shear strain from static loads:</t>
  </si>
  <si>
    <t>Shear strain from cyclic loads:</t>
  </si>
  <si>
    <t xml:space="preserve">For bearings without externally bonded plates, a restraint system is required to secure the bearing against horizontal movement if: </t>
  </si>
  <si>
    <t>AASHTO 14.7.5.1</t>
  </si>
  <si>
    <t>Maximum cyclic service limit state design rotation</t>
  </si>
  <si>
    <t>Allowable Fatigue Threshold</t>
  </si>
  <si>
    <t>AASHTO Reduction Factor</t>
  </si>
  <si>
    <t>Construction Tolerance</t>
  </si>
  <si>
    <t>AASHTO 14.4.2.1</t>
  </si>
  <si>
    <t>BDM 14.5.3</t>
  </si>
  <si>
    <t>AASHTO F3.12.2.2-1</t>
  </si>
  <si>
    <t xml:space="preserve">Shear deformations include movements from temperature, creep and shrinkage, prestressing effects, and miscellaneous movement from loads such as live and wind loads from service load combinations per AASHTO C14.4.1. Assume the bearings are not adjusted after construction; therefore, the 65 percent reduction in thermal movement range per AASHTO 14.7.5.3.2 is not included per BDM 14.5.3. </t>
  </si>
  <si>
    <t>The contact stress at the edge shall be determined by considering the maximum service moment transferred by the bearing, assuming a linear distribution of stress across the PTFE.  The moment is assumed to occur at the centerline of the bearing, perpendicular to the direction of load.</t>
  </si>
  <si>
    <t>Service moment due to total load</t>
  </si>
  <si>
    <t>Service moment due to dead load</t>
  </si>
  <si>
    <t>AASHTO 14.6.3.2-3 
AASHTO C14.6.3.2</t>
  </si>
  <si>
    <t>No. of Interior Elastomer Layers</t>
  </si>
  <si>
    <t>AASHTO F3.12.2.2-2</t>
  </si>
  <si>
    <t>EXAMPLE 4 - TYPE II BEARING (REINFORCED BEARING WITH PTFE)</t>
  </si>
  <si>
    <t>instantaneous live load compressive strain in elastomeric pad</t>
  </si>
  <si>
    <t>Live load movement</t>
  </si>
  <si>
    <t>The minimum service shear force transferred by the sliding surface at the specified minimum temperature:</t>
  </si>
  <si>
    <t>Uniform Temperature Movement Range:</t>
  </si>
  <si>
    <t>Rotations include effects of girder camber. For all rotation values, positive indicates a downward rotation while negative indicates an upward rotation. Note this example does not account for profile grade differences between supports.</t>
  </si>
  <si>
    <t>Include a construction tolerance of 0.005 radians to account for uncertainties in bearing fabrication and bearing seat construction. Per BDM 14.5.4, the flatness tolerance for bearing seat uncertainties is accounted for in the construction tolerance.</t>
  </si>
  <si>
    <t>Minimizing deflection from instantaneous live loads is recommended when bridge joints are present. For jointless bridges, these criteria may be omitted.</t>
  </si>
  <si>
    <t>Maximum static service limit state design rotation</t>
  </si>
  <si>
    <t>If the above criteria for stability are not satisfied, the following equations shall be investigated:</t>
  </si>
  <si>
    <t>AASHTO 14.7.5.3.4-5</t>
  </si>
  <si>
    <t>Per CDOT Bridge Design Manual (BDM) Section 14.5.9, Type II bearings are Type I bearings with a PTFE sliding surface. Type II bearings shall meet the same requirements as steel reinforced bearings, in addition to providing adequate slip on the sliding plane to accommodate horizontal movements without causing excessive bearing pad deformation. The following example is in accordance with Method B procedures per AASHTO LRFD 7th Edition Section 14.7.5.</t>
  </si>
  <si>
    <t xml:space="preserve">This example assumes a concrete superstructure that can displace under the effects of temperature, creep, and shrinkage and assumes a rectangular bearing shown below in Figures 1 and 2. The bearing is fixed in the transverse direction and free to move longitudinally.  Assume temperature movements conform to AASHTO 3.12.2.2 Procedure B. The PTFE surface is assumed unfilled and lubricated and no externally bonded plates are present. </t>
  </si>
  <si>
    <t>FIGURE 1 -  TYPE II - STEEL REINFORCED BEARING PAD WITH PTFE - PLAN</t>
  </si>
  <si>
    <t>FIGURE 2 -  TYPE II - STEEL REINFORCED BEARING PAD WITH PTFE - SECTION</t>
  </si>
  <si>
    <t>Loads acting on the bearing are dead and live load girder reactions at the service limit state. Per AASHTO 14.4.1, dynamic load allowance is excluded from the live load influence.</t>
  </si>
  <si>
    <t>Creep, Shrinkage, Elastic Shortening, and Miscellaneous Movements:</t>
  </si>
  <si>
    <t>For the given minimum temperature and the average pressure at the service limit state, interpolate between values in AASHTO T14.7.2.5-1. Assume a lubricated PTFE surface.</t>
  </si>
  <si>
    <t>For demonstration purposes, only rotation about the transverse direction is verified. The Designer shall evaluate the bearing about both the longitudinal and transverse axis as appropriate, especially in cases where the structure contains a significant skew (AASHTO C14.7.5.3.3). Cyclic loading shall consist of loads induced by traffic with all other loads considered static (AASHTO 14.7.5.3.3).</t>
  </si>
  <si>
    <t>Note that holes are not present in the bearing. The allowable thickness does not need to be increased per 
AASHTO 14.7.5.3.5.</t>
  </si>
  <si>
    <t>Since a low friction sliding surface is implemented, Δs need not be taken larger than the deformation corresponding to first slip (AASHTO 14.7.5.3.2). The minimum pressure will create the largest coefficient of friction and the largest movement.</t>
  </si>
  <si>
    <t>The Designer shall size the steel sliding surface, sole plate, anchor bolt holes, and edge distances accordingly to accommodate the above movement.</t>
  </si>
  <si>
    <r>
      <t>is derived from My/I, where y is L/2, and I is WL</t>
    </r>
    <r>
      <rPr>
        <vertAlign val="superscript"/>
        <sz val="9"/>
        <rFont val="Arial"/>
        <family val="2"/>
      </rPr>
      <t>3</t>
    </r>
    <r>
      <rPr>
        <sz val="9"/>
        <rFont val="Arial"/>
        <family val="2"/>
      </rPr>
      <t>/12</t>
    </r>
  </si>
  <si>
    <r>
      <t xml:space="preserve">Temp.  </t>
    </r>
    <r>
      <rPr>
        <b/>
        <sz val="9"/>
        <rFont val="Calibri"/>
        <family val="2"/>
      </rPr>
      <t>ͦF</t>
    </r>
  </si>
  <si>
    <r>
      <t>initial dead load compressive strain in</t>
    </r>
    <r>
      <rPr>
        <i/>
        <sz val="9"/>
        <rFont val="Arial"/>
        <family val="2"/>
      </rPr>
      <t xml:space="preserve"> i</t>
    </r>
    <r>
      <rPr>
        <sz val="9"/>
        <rFont val="Arial"/>
        <family val="2"/>
      </rPr>
      <t>th layer of elastomeric pad</t>
    </r>
  </si>
  <si>
    <r>
      <t>D</t>
    </r>
    <r>
      <rPr>
        <vertAlign val="subscript"/>
        <sz val="9"/>
        <rFont val="Arial"/>
        <family val="2"/>
      </rPr>
      <t xml:space="preserve">a </t>
    </r>
    <r>
      <rPr>
        <sz val="9"/>
        <rFont val="Arial"/>
        <family val="2"/>
      </rPr>
      <t xml:space="preserve">= </t>
    </r>
  </si>
  <si>
    <r>
      <t>D</t>
    </r>
    <r>
      <rPr>
        <vertAlign val="subscript"/>
        <sz val="9"/>
        <rFont val="Arial"/>
        <family val="2"/>
      </rPr>
      <t xml:space="preserve">r </t>
    </r>
    <r>
      <rPr>
        <sz val="9"/>
        <rFont val="Arial"/>
        <family val="2"/>
      </rPr>
      <t>=</t>
    </r>
    <r>
      <rPr>
        <vertAlign val="subscript"/>
        <sz val="9"/>
        <rFont val="Arial"/>
        <family val="2"/>
      </rPr>
      <t xml:space="preserve"> </t>
    </r>
  </si>
  <si>
    <r>
      <t>The bearing pad must be secured against horizontal movement if the shear force sustained by the deformed pad exceeds the minimum vertical force due to permanent loads modified for the concrete friction. The allowable slip of the pad is calculated and compared to the pad deformation using both G</t>
    </r>
    <r>
      <rPr>
        <vertAlign val="subscript"/>
        <sz val="9"/>
        <color theme="1"/>
        <rFont val="Arial"/>
        <family val="2"/>
      </rPr>
      <t>max</t>
    </r>
    <r>
      <rPr>
        <sz val="9"/>
        <color theme="1"/>
        <rFont val="Arial"/>
        <family val="2"/>
      </rPr>
      <t xml:space="preserve"> and G</t>
    </r>
    <r>
      <rPr>
        <vertAlign val="subscript"/>
        <sz val="9"/>
        <color theme="1"/>
        <rFont val="Arial"/>
        <family val="2"/>
      </rPr>
      <t>min</t>
    </r>
    <r>
      <rPr>
        <sz val="9"/>
        <color theme="1"/>
        <rFont val="Arial"/>
        <family val="2"/>
      </rPr>
      <t xml:space="preserve"> to determine the controlling scenario.  Note this example considers longitudinal deformations only; wind, braking, and seismic loads shall also be considered as appropriate, in the direction of consideration.</t>
    </r>
  </si>
  <si>
    <r>
      <t>in</t>
    </r>
    <r>
      <rPr>
        <vertAlign val="superscript"/>
        <sz val="9"/>
        <rFont val="Arial"/>
        <family val="2"/>
      </rPr>
      <t>2</t>
    </r>
  </si>
  <si>
    <r>
      <t xml:space="preserve">In cases where </t>
    </r>
    <r>
      <rPr>
        <sz val="9"/>
        <rFont val="Calibri"/>
        <family val="2"/>
      </rPr>
      <t>Δ</t>
    </r>
    <r>
      <rPr>
        <vertAlign val="subscript"/>
        <sz val="9"/>
        <rFont val="Calibri"/>
        <family val="2"/>
      </rPr>
      <t xml:space="preserve">s,slip </t>
    </r>
    <r>
      <rPr>
        <sz val="9"/>
        <rFont val="Arial"/>
        <family val="2"/>
      </rPr>
      <t xml:space="preserve">exceeds  </t>
    </r>
    <r>
      <rPr>
        <sz val="9"/>
        <rFont val="Calibri"/>
        <family val="2"/>
      </rPr>
      <t>Δ</t>
    </r>
    <r>
      <rPr>
        <vertAlign val="subscript"/>
        <sz val="9"/>
        <rFont val="Arial"/>
        <family val="2"/>
      </rPr>
      <t>s,allow</t>
    </r>
    <r>
      <rPr>
        <sz val="9"/>
        <rFont val="Arial"/>
        <family val="2"/>
      </rPr>
      <t>, anchor bolts shall be sized and designed in accordance with those Articles specified in AASHTO 14.8.3</t>
    </r>
  </si>
  <si>
    <r>
      <rPr>
        <sz val="9"/>
        <rFont val="Calibri"/>
        <family val="2"/>
      </rPr>
      <t>Δ</t>
    </r>
    <r>
      <rPr>
        <vertAlign val="subscript"/>
        <sz val="9"/>
        <rFont val="Arial"/>
        <family val="2"/>
      </rPr>
      <t xml:space="preserve">CR </t>
    </r>
    <r>
      <rPr>
        <sz val="9"/>
        <rFont val="Arial"/>
        <family val="2"/>
      </rPr>
      <t xml:space="preserve">= </t>
    </r>
  </si>
  <si>
    <r>
      <rPr>
        <sz val="9"/>
        <rFont val="Calibri"/>
        <family val="2"/>
      </rPr>
      <t>Δ</t>
    </r>
    <r>
      <rPr>
        <vertAlign val="subscript"/>
        <sz val="9"/>
        <rFont val="Arial"/>
        <family val="2"/>
      </rPr>
      <t xml:space="preserve">SH </t>
    </r>
    <r>
      <rPr>
        <sz val="9"/>
        <rFont val="Arial"/>
        <family val="2"/>
      </rPr>
      <t xml:space="preserve">= </t>
    </r>
  </si>
  <si>
    <r>
      <rPr>
        <sz val="9"/>
        <rFont val="Calibri"/>
        <family val="2"/>
      </rPr>
      <t>Δ</t>
    </r>
    <r>
      <rPr>
        <vertAlign val="subscript"/>
        <sz val="9"/>
        <rFont val="Arial"/>
        <family val="2"/>
      </rPr>
      <t xml:space="preserve">EL </t>
    </r>
    <r>
      <rPr>
        <sz val="9"/>
        <rFont val="Arial"/>
        <family val="2"/>
      </rPr>
      <t xml:space="preserve">= </t>
    </r>
  </si>
  <si>
    <r>
      <rPr>
        <sz val="9"/>
        <rFont val="Calibri"/>
        <family val="2"/>
      </rPr>
      <t>Δ</t>
    </r>
    <r>
      <rPr>
        <vertAlign val="subscript"/>
        <sz val="9"/>
        <rFont val="Arial"/>
        <family val="2"/>
      </rPr>
      <t xml:space="preserve">LL </t>
    </r>
    <r>
      <rPr>
        <sz val="9"/>
        <rFont val="Arial"/>
        <family val="2"/>
      </rPr>
      <t xml:space="preserve">= </t>
    </r>
  </si>
  <si>
    <r>
      <rPr>
        <sz val="9"/>
        <rFont val="Calibri"/>
        <family val="2"/>
      </rPr>
      <t>Δ</t>
    </r>
    <r>
      <rPr>
        <vertAlign val="subscript"/>
        <sz val="9"/>
        <rFont val="Arial"/>
        <family val="2"/>
      </rPr>
      <t>MISC</t>
    </r>
    <r>
      <rPr>
        <vertAlign val="subscript"/>
        <sz val="9"/>
        <rFont val="Calibri Light"/>
        <family val="2"/>
      </rPr>
      <t xml:space="preserve"> </t>
    </r>
    <r>
      <rPr>
        <sz val="9"/>
        <rFont val="Arial"/>
        <family val="2"/>
      </rPr>
      <t xml:space="preserve">= </t>
    </r>
  </si>
  <si>
    <t>W =</t>
  </si>
  <si>
    <r>
      <t>h</t>
    </r>
    <r>
      <rPr>
        <vertAlign val="subscript"/>
        <sz val="9"/>
        <rFont val="Arial"/>
        <family val="2"/>
      </rPr>
      <t xml:space="preserve">re </t>
    </r>
    <r>
      <rPr>
        <sz val="9"/>
        <rFont val="Arial"/>
        <family val="2"/>
      </rPr>
      <t>=</t>
    </r>
  </si>
  <si>
    <r>
      <t>&lt; 70% h</t>
    </r>
    <r>
      <rPr>
        <vertAlign val="subscript"/>
        <sz val="9"/>
        <rFont val="Arial"/>
        <family val="2"/>
      </rPr>
      <t>ri</t>
    </r>
    <r>
      <rPr>
        <sz val="9"/>
        <rFont val="Arial"/>
        <family val="2"/>
      </rPr>
      <t xml:space="preserve"> AASHTO 14.7.5.1</t>
    </r>
  </si>
  <si>
    <r>
      <t>h</t>
    </r>
    <r>
      <rPr>
        <vertAlign val="subscript"/>
        <sz val="9"/>
        <rFont val="Arial"/>
        <family val="2"/>
      </rPr>
      <t xml:space="preserve">ri </t>
    </r>
    <r>
      <rPr>
        <sz val="9"/>
        <rFont val="Arial"/>
        <family val="2"/>
      </rPr>
      <t>=</t>
    </r>
  </si>
  <si>
    <r>
      <t>h</t>
    </r>
    <r>
      <rPr>
        <vertAlign val="subscript"/>
        <sz val="9"/>
        <rFont val="Arial"/>
        <family val="2"/>
      </rPr>
      <t xml:space="preserve">s </t>
    </r>
    <r>
      <rPr>
        <sz val="9"/>
        <rFont val="Arial"/>
        <family val="2"/>
      </rPr>
      <t xml:space="preserve">= </t>
    </r>
  </si>
  <si>
    <r>
      <t>n</t>
    </r>
    <r>
      <rPr>
        <vertAlign val="subscript"/>
        <sz val="9"/>
        <rFont val="Arial"/>
        <family val="2"/>
      </rPr>
      <t>shims</t>
    </r>
    <r>
      <rPr>
        <sz val="9"/>
        <rFont val="Arial"/>
        <family val="2"/>
      </rPr>
      <t xml:space="preserve"> = </t>
    </r>
  </si>
  <si>
    <r>
      <t>h</t>
    </r>
    <r>
      <rPr>
        <vertAlign val="subscript"/>
        <sz val="9"/>
        <rFont val="Arial"/>
        <family val="2"/>
      </rPr>
      <t xml:space="preserve">rt </t>
    </r>
    <r>
      <rPr>
        <sz val="9"/>
        <rFont val="Arial"/>
        <family val="2"/>
      </rPr>
      <t xml:space="preserve">= </t>
    </r>
  </si>
  <si>
    <t>t =</t>
  </si>
  <si>
    <r>
      <t>h</t>
    </r>
    <r>
      <rPr>
        <vertAlign val="subscript"/>
        <sz val="9"/>
        <rFont val="Arial"/>
        <family val="2"/>
      </rPr>
      <t xml:space="preserve">PTFE </t>
    </r>
    <r>
      <rPr>
        <sz val="9"/>
        <rFont val="Arial"/>
        <family val="2"/>
      </rPr>
      <t>=</t>
    </r>
  </si>
  <si>
    <r>
      <t>Design drawings shall specify the shear modulus of the elastomer at 73</t>
    </r>
    <r>
      <rPr>
        <sz val="9"/>
        <rFont val="Calibri"/>
        <family val="2"/>
      </rPr>
      <t>°</t>
    </r>
    <r>
      <rPr>
        <sz val="9"/>
        <rFont val="Arial"/>
        <family val="2"/>
      </rPr>
      <t>. With an acceptance variation of ± 15% of the specified value, the shear modulus used in design will vary. The shear modulus shall be taken as the least favorable value within the range to cause the more conservative outcome in the specific analysis being considered (AASHTO 14.7.5.2). The plan shear modulus below assumes a Durometer Hardness of 60.</t>
    </r>
  </si>
  <si>
    <r>
      <t>G</t>
    </r>
    <r>
      <rPr>
        <vertAlign val="subscript"/>
        <sz val="9"/>
        <rFont val="Arial"/>
        <family val="2"/>
      </rPr>
      <t>plan</t>
    </r>
    <r>
      <rPr>
        <sz val="9"/>
        <rFont val="Arial"/>
        <family val="2"/>
      </rPr>
      <t>=</t>
    </r>
  </si>
  <si>
    <r>
      <t>G</t>
    </r>
    <r>
      <rPr>
        <vertAlign val="subscript"/>
        <sz val="9"/>
        <rFont val="Arial"/>
        <family val="2"/>
      </rPr>
      <t>max</t>
    </r>
    <r>
      <rPr>
        <sz val="9"/>
        <rFont val="Arial"/>
        <family val="2"/>
      </rPr>
      <t>=</t>
    </r>
  </si>
  <si>
    <r>
      <t>G</t>
    </r>
    <r>
      <rPr>
        <vertAlign val="subscript"/>
        <sz val="9"/>
        <rFont val="Arial"/>
        <family val="2"/>
      </rPr>
      <t>min</t>
    </r>
    <r>
      <rPr>
        <sz val="9"/>
        <rFont val="Arial"/>
        <family val="2"/>
      </rPr>
      <t>=</t>
    </r>
  </si>
  <si>
    <r>
      <t>F</t>
    </r>
    <r>
      <rPr>
        <vertAlign val="subscript"/>
        <sz val="9"/>
        <rFont val="Arial"/>
        <family val="2"/>
      </rPr>
      <t>y</t>
    </r>
    <r>
      <rPr>
        <sz val="9"/>
        <rFont val="Arial"/>
        <family val="2"/>
      </rPr>
      <t xml:space="preserve"> = </t>
    </r>
  </si>
  <si>
    <r>
      <rPr>
        <sz val="9"/>
        <rFont val="Calibri"/>
        <family val="2"/>
      </rPr>
      <t>Δ</t>
    </r>
    <r>
      <rPr>
        <sz val="9"/>
        <rFont val="Arial"/>
        <family val="2"/>
      </rPr>
      <t>F</t>
    </r>
    <r>
      <rPr>
        <vertAlign val="subscript"/>
        <sz val="9"/>
        <rFont val="Arial"/>
        <family val="2"/>
      </rPr>
      <t xml:space="preserve">TH </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</si>
</sst>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0.000"/>
    <numFmt numFmtId="165" formatCode="0.0000"/>
    <numFmt numFmtId="166" formatCode="0.00\ &quot;ksi&quot;"/>
    <numFmt numFmtId="167" formatCode="0.00\ &quot;in&quot;"/>
    <numFmt numFmtId="168" formatCode="0.000\ &quot;in&quot;"/>
    <numFmt numFmtId="169" formatCode="0.E+00"/>
    <numFmt numFmtId="170" formatCode="0.0E+00"/>
    <numFmt numFmtId="171" formatCode="&quot;=  &quot;0.00"/>
    <numFmt numFmtId="172" formatCode="0.0000\ &quot;in&quot;"/>
    <numFmt numFmtId="173" formatCode="&quot;= &quot;\ 0.000"/>
    <numFmt numFmtId="174" formatCode="0.000\ &quot;rad&quot;"/>
    <numFmt numFmtId="175" formatCode="&quot;=  &quot;0.000"/>
    <numFmt numFmtId="176" formatCode="00000"/>
    <numFmt numFmtId="177" formatCode="0.00\ &quot;kip&quot;"/>
    <numFmt numFmtId="178" formatCode="0.00\ &quot;in^4&quot;"/>
    <numFmt numFmtId="179" formatCode="0.00\ &quot;k-in&quot;"/>
    <numFmt numFmtId="180" formatCode="0.0"/>
    <numFmt numFmtId="181" formatCode="0.000\ &quot;ksi&quot;"/>
    <numFmt numFmtId="182" formatCode="&quot;= &quot;0.00\ &quot;in&quot;"/>
    <numFmt numFmtId="183" formatCode="0.0\ &quot;in^2&quot;"/>
    <numFmt numFmtId="184" formatCode="0.0\ &quot;kip&quot;"/>
    <numFmt numFmtId="185" formatCode="0.00\ &quot;in.&quot;"/>
    <numFmt numFmtId="186" formatCode="0.000\ &quot;in.&quot;"/>
    <numFmt numFmtId="187" formatCode="&quot;= &quot;0.00"/>
  </numFmts>
  <fonts count="43" x14ac:knownFonts="1">
    <font>
      <sz val="10"/>
      <name val="Arial"/>
      <family val="2"/>
    </font>
    <font>
      <sz val="10"/>
      <color theme="1"/>
      <name val="Times New Roman"/>
      <family val="2"/>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10"/>
      <color rgb="FFFA7D00"/>
      <name val="Times New Roman"/>
      <family val="2"/>
    </font>
    <font>
      <b/>
      <sz val="10"/>
      <color theme="0"/>
      <name val="Times New Roman"/>
      <family val="2"/>
    </font>
    <font>
      <sz val="10"/>
      <color rgb="FFFF0000"/>
      <name val="Times New Roman"/>
      <family val="2"/>
    </font>
    <font>
      <i/>
      <sz val="10"/>
      <color rgb="FF7F7F7F"/>
      <name val="Times New Roman"/>
      <family val="2"/>
    </font>
    <font>
      <b/>
      <sz val="14"/>
      <name val="Arial"/>
      <family val="2"/>
    </font>
    <font>
      <sz val="8"/>
      <name val="Arial"/>
      <family val="2"/>
    </font>
    <font>
      <b/>
      <sz val="11"/>
      <name val="Arial"/>
      <family val="2"/>
    </font>
    <font>
      <i/>
      <sz val="10"/>
      <name val="Arial"/>
      <family val="2"/>
    </font>
    <font>
      <sz val="10"/>
      <name val="Arial"/>
      <family val="2"/>
    </font>
    <font>
      <i/>
      <sz val="9"/>
      <name val="Arial"/>
      <family val="2"/>
    </font>
    <font>
      <sz val="10"/>
      <name val="Times New Roman"/>
      <family val="1"/>
    </font>
    <font>
      <sz val="10"/>
      <color rgb="FFFF0000"/>
      <name val="Arial"/>
      <family val="2"/>
    </font>
    <font>
      <b/>
      <sz val="10"/>
      <name val="Arial"/>
      <family val="2"/>
    </font>
    <font>
      <u/>
      <sz val="10"/>
      <color theme="10"/>
      <name val="Arial"/>
      <family val="2"/>
    </font>
    <font>
      <u/>
      <sz val="10"/>
      <color theme="11"/>
      <name val="Arial"/>
      <family val="2"/>
    </font>
    <font>
      <b/>
      <sz val="10"/>
      <color rgb="FFFF0000"/>
      <name val="Arial"/>
      <family val="2"/>
    </font>
    <font>
      <sz val="10"/>
      <color theme="9" tint="0.79998168889431442"/>
      <name val="Arial"/>
      <family val="2"/>
    </font>
    <font>
      <b/>
      <i/>
      <sz val="9"/>
      <name val="Arial"/>
      <family val="2"/>
    </font>
    <font>
      <sz val="9"/>
      <name val="Arial"/>
      <family val="2"/>
    </font>
    <font>
      <b/>
      <sz val="9"/>
      <name val="Arial"/>
      <family val="2"/>
    </font>
    <font>
      <i/>
      <u/>
      <sz val="9"/>
      <name val="Arial"/>
      <family val="2"/>
    </font>
    <font>
      <vertAlign val="superscript"/>
      <sz val="9"/>
      <name val="Arial"/>
      <family val="2"/>
    </font>
    <font>
      <b/>
      <sz val="9"/>
      <name val="Calibri"/>
      <family val="2"/>
    </font>
    <font>
      <sz val="9"/>
      <color rgb="FFFF0000"/>
      <name val="Arial"/>
      <family val="2"/>
    </font>
    <font>
      <b/>
      <sz val="9"/>
      <color rgb="FFFF0000"/>
      <name val="Arial"/>
      <family val="2"/>
    </font>
    <font>
      <i/>
      <u/>
      <sz val="9"/>
      <color rgb="FFFF0000"/>
      <name val="Arial"/>
      <family val="2"/>
    </font>
    <font>
      <u/>
      <sz val="9"/>
      <name val="Arial"/>
      <family val="2"/>
    </font>
    <font>
      <vertAlign val="subscript"/>
      <sz val="9"/>
      <name val="Arial"/>
      <family val="2"/>
    </font>
    <font>
      <b/>
      <sz val="9"/>
      <color rgb="FF0000FF"/>
      <name val="Arial"/>
      <family val="2"/>
    </font>
    <font>
      <b/>
      <i/>
      <sz val="9"/>
      <color theme="1"/>
      <name val="Arial"/>
      <family val="2"/>
    </font>
    <font>
      <sz val="9"/>
      <color theme="1"/>
      <name val="Arial"/>
      <family val="2"/>
    </font>
    <font>
      <vertAlign val="subscript"/>
      <sz val="9"/>
      <color theme="1"/>
      <name val="Arial"/>
      <family val="2"/>
    </font>
    <font>
      <sz val="9"/>
      <name val="Calibri"/>
      <family val="2"/>
    </font>
    <font>
      <vertAlign val="subscript"/>
      <sz val="9"/>
      <name val="Calibri"/>
      <family val="2"/>
    </font>
    <font>
      <vertAlign val="subscript"/>
      <sz val="9"/>
      <name val="Calibri Light"/>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bgColor indexed="64"/>
      </patternFill>
    </fill>
    <fill>
      <patternFill patternType="solid">
        <fgColor theme="9"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26">
    <xf numFmtId="2" fontId="0" fillId="0" borderId="0">
      <alignment vertical="center"/>
    </xf>
    <xf numFmtId="2" fontId="12" fillId="0" borderId="0" applyProtection="0">
      <alignment horizontal="right" vertical="center"/>
    </xf>
    <xf numFmtId="2" fontId="14" fillId="0" borderId="0">
      <alignment vertical="center"/>
    </xf>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1" fillId="0" borderId="0" applyNumberFormat="0" applyFill="0" applyBorder="0" applyAlignment="0" applyProtection="0"/>
    <xf numFmtId="2" fontId="13" fillId="0" borderId="0">
      <alignment vertical="center"/>
    </xf>
    <xf numFmtId="2" fontId="15" fillId="0" borderId="0">
      <alignment vertical="center"/>
    </xf>
    <xf numFmtId="2" fontId="20" fillId="9" borderId="0">
      <alignment horizontal="center" vertical="center"/>
    </xf>
    <xf numFmtId="2" fontId="18" fillId="0" borderId="0">
      <alignment horizontal="center" vertical="center"/>
    </xf>
    <xf numFmtId="2" fontId="16" fillId="0" borderId="0" applyProtection="0">
      <alignment horizontal="center" vertical="center"/>
    </xf>
    <xf numFmtId="2" fontId="17" fillId="0" borderId="0" applyFill="0" applyBorder="0" applyProtection="0">
      <alignment vertical="center"/>
    </xf>
    <xf numFmtId="2" fontId="16" fillId="0" borderId="0" applyProtection="0">
      <alignment horizontal="center" vertical="center"/>
    </xf>
    <xf numFmtId="2" fontId="17" fillId="0" borderId="0" applyFill="0" applyBorder="0" applyProtection="0">
      <alignment vertical="center"/>
    </xf>
    <xf numFmtId="2" fontId="21" fillId="0" borderId="0" applyNumberFormat="0" applyFill="0" applyBorder="0" applyAlignment="0" applyProtection="0">
      <alignment vertical="center"/>
    </xf>
    <xf numFmtId="2" fontId="22" fillId="0" borderId="0" applyNumberFormat="0" applyFill="0" applyBorder="0" applyAlignment="0" applyProtection="0">
      <alignment vertical="center"/>
    </xf>
    <xf numFmtId="2" fontId="21" fillId="0" borderId="0" applyNumberFormat="0" applyFill="0" applyBorder="0" applyAlignment="0" applyProtection="0">
      <alignment vertical="center"/>
    </xf>
    <xf numFmtId="2" fontId="22" fillId="0" borderId="0" applyNumberFormat="0" applyFill="0" applyBorder="0" applyAlignment="0" applyProtection="0">
      <alignment vertical="center"/>
    </xf>
  </cellStyleXfs>
  <cellXfs count="168">
    <xf numFmtId="2" fontId="0" fillId="0" borderId="0" xfId="0">
      <alignment vertical="center"/>
    </xf>
    <xf numFmtId="2" fontId="12" fillId="0" borderId="0" xfId="1">
      <alignment horizontal="right" vertical="center"/>
    </xf>
    <xf numFmtId="2" fontId="18" fillId="0" borderId="0" xfId="17">
      <alignment horizontal="center" vertical="center"/>
    </xf>
    <xf numFmtId="2" fontId="18" fillId="0" borderId="0" xfId="17" applyAlignment="1">
      <alignment horizontal="right" vertical="center"/>
    </xf>
    <xf numFmtId="164" fontId="16" fillId="0" borderId="0" xfId="20" applyNumberFormat="1">
      <alignment horizontal="center" vertical="center"/>
    </xf>
    <xf numFmtId="2" fontId="0" fillId="10" borderId="0" xfId="0" applyFill="1">
      <alignment vertical="center"/>
    </xf>
    <xf numFmtId="2" fontId="18" fillId="10" borderId="0" xfId="17" applyFill="1">
      <alignment horizontal="center" vertical="center"/>
    </xf>
    <xf numFmtId="2" fontId="19" fillId="10" borderId="0" xfId="0" applyFont="1" applyFill="1">
      <alignment vertical="center"/>
    </xf>
    <xf numFmtId="2" fontId="0" fillId="0" borderId="0" xfId="0" applyAlignment="1">
      <alignment horizontal="right" vertical="center"/>
    </xf>
    <xf numFmtId="2" fontId="16" fillId="0" borderId="0" xfId="20">
      <alignment horizontal="center" vertical="center"/>
    </xf>
    <xf numFmtId="2" fontId="13" fillId="0" borderId="0" xfId="14">
      <alignment vertical="center"/>
    </xf>
    <xf numFmtId="2" fontId="19" fillId="0" borderId="0" xfId="0" applyFont="1">
      <alignment vertical="center"/>
    </xf>
    <xf numFmtId="2" fontId="20" fillId="0" borderId="0" xfId="0" applyFont="1">
      <alignment vertical="center"/>
    </xf>
    <xf numFmtId="2" fontId="13" fillId="0" borderId="0" xfId="0" applyFont="1">
      <alignment vertical="center"/>
    </xf>
    <xf numFmtId="2" fontId="0" fillId="0" borderId="0" xfId="0" applyAlignment="1">
      <alignment horizontal="left" vertical="center"/>
    </xf>
    <xf numFmtId="165" fontId="16" fillId="0" borderId="0" xfId="14" applyNumberFormat="1" applyFont="1" applyAlignment="1">
      <alignment horizontal="left" vertical="center"/>
    </xf>
    <xf numFmtId="167" fontId="16" fillId="0" borderId="0" xfId="14" applyNumberFormat="1" applyFont="1">
      <alignment vertical="center"/>
    </xf>
    <xf numFmtId="2" fontId="0" fillId="0" borderId="0" xfId="0" applyAlignment="1">
      <alignment horizontal="center" vertical="center"/>
    </xf>
    <xf numFmtId="2" fontId="23" fillId="0" borderId="0" xfId="0" applyFont="1">
      <alignment vertical="center"/>
    </xf>
    <xf numFmtId="2" fontId="20" fillId="0" borderId="0" xfId="0" applyFont="1" applyAlignment="1">
      <alignment horizontal="center" vertical="center"/>
    </xf>
    <xf numFmtId="2" fontId="0" fillId="0" borderId="0" xfId="0" applyAlignment="1">
      <alignment horizontal="left" vertical="center" wrapText="1"/>
    </xf>
    <xf numFmtId="2" fontId="0" fillId="0" borderId="0" xfId="0" applyAlignment="1">
      <alignment vertical="center" wrapText="1"/>
    </xf>
    <xf numFmtId="2" fontId="24" fillId="10" borderId="0" xfId="0" applyFont="1" applyFill="1">
      <alignment vertical="center"/>
    </xf>
    <xf numFmtId="2" fontId="0" fillId="0" borderId="0" xfId="0">
      <alignment vertical="center"/>
    </xf>
    <xf numFmtId="2" fontId="0" fillId="0" borderId="0" xfId="0" applyAlignment="1">
      <alignment vertical="center" wrapText="1"/>
    </xf>
    <xf numFmtId="2" fontId="0" fillId="0" borderId="0" xfId="0" applyAlignment="1">
      <alignment horizontal="center" vertical="center"/>
    </xf>
    <xf numFmtId="2" fontId="0" fillId="0" borderId="0" xfId="0" applyAlignment="1">
      <alignment horizontal="right" vertical="center" wrapText="1"/>
    </xf>
    <xf numFmtId="2" fontId="20" fillId="0" borderId="0" xfId="0" applyFont="1" applyAlignment="1">
      <alignment horizontal="center" vertical="center"/>
    </xf>
    <xf numFmtId="2" fontId="20" fillId="0" borderId="0" xfId="0" applyFont="1">
      <alignment vertical="center"/>
    </xf>
    <xf numFmtId="2" fontId="25" fillId="0" borderId="0" xfId="0" applyFont="1">
      <alignment vertical="center"/>
    </xf>
    <xf numFmtId="2" fontId="26" fillId="0" borderId="0" xfId="0" applyFont="1">
      <alignment vertical="center"/>
    </xf>
    <xf numFmtId="2" fontId="26" fillId="0" borderId="0" xfId="0" applyFont="1" applyAlignment="1">
      <alignment horizontal="right" vertical="center"/>
    </xf>
    <xf numFmtId="2" fontId="27" fillId="0" borderId="0" xfId="0" applyFont="1">
      <alignment vertical="center"/>
    </xf>
    <xf numFmtId="2" fontId="26" fillId="0" borderId="0" xfId="16" applyFont="1" applyFill="1">
      <alignment horizontal="center" vertical="center"/>
    </xf>
    <xf numFmtId="2" fontId="26" fillId="0" borderId="0" xfId="0" applyFont="1" applyAlignment="1">
      <alignment horizontal="center" vertical="center"/>
    </xf>
    <xf numFmtId="2" fontId="26" fillId="0" borderId="0" xfId="0" applyFont="1">
      <alignment vertical="center"/>
    </xf>
    <xf numFmtId="2" fontId="26" fillId="0" borderId="0" xfId="0" applyFont="1" applyAlignment="1">
      <alignment horizontal="center" vertical="center"/>
    </xf>
    <xf numFmtId="2" fontId="28" fillId="0" borderId="0" xfId="0" applyFont="1">
      <alignment vertical="center"/>
    </xf>
    <xf numFmtId="2" fontId="26" fillId="0" borderId="0" xfId="0" applyFont="1" applyAlignment="1">
      <alignment horizontal="left" vertical="center"/>
    </xf>
    <xf numFmtId="166" fontId="26" fillId="0" borderId="0" xfId="0" applyNumberFormat="1" applyFont="1" applyAlignment="1">
      <alignment horizontal="center" vertical="center"/>
    </xf>
    <xf numFmtId="166" fontId="26" fillId="0" borderId="0" xfId="0" applyNumberFormat="1" applyFont="1" applyAlignment="1">
      <alignment horizontal="center" vertical="center"/>
    </xf>
    <xf numFmtId="2" fontId="17" fillId="0" borderId="0" xfId="0" applyFont="1">
      <alignment vertical="center"/>
    </xf>
    <xf numFmtId="166" fontId="26" fillId="9" borderId="0" xfId="0" applyNumberFormat="1" applyFont="1" applyFill="1" applyAlignment="1">
      <alignment horizontal="center" vertical="center"/>
    </xf>
    <xf numFmtId="2" fontId="27" fillId="0" borderId="0" xfId="0" applyFont="1" applyAlignment="1">
      <alignment horizontal="center" vertical="center"/>
    </xf>
    <xf numFmtId="2" fontId="26" fillId="0" borderId="0" xfId="0" applyFont="1" applyAlignment="1">
      <alignment vertical="center" wrapText="1"/>
    </xf>
    <xf numFmtId="2" fontId="26" fillId="0" borderId="0" xfId="0" applyFont="1" applyAlignment="1">
      <alignment horizontal="right" vertical="center" wrapText="1"/>
    </xf>
    <xf numFmtId="166" fontId="26" fillId="0" borderId="0" xfId="0" applyNumberFormat="1" applyFont="1" applyAlignment="1">
      <alignment horizontal="left" vertical="center"/>
    </xf>
    <xf numFmtId="2" fontId="26" fillId="0" borderId="0" xfId="0" applyFont="1" applyAlignment="1">
      <alignment horizontal="left" vertical="center"/>
    </xf>
    <xf numFmtId="178" fontId="26" fillId="0" borderId="0" xfId="0" applyNumberFormat="1" applyFont="1" applyAlignment="1">
      <alignment horizontal="left" vertical="center"/>
    </xf>
    <xf numFmtId="174" fontId="26" fillId="0" borderId="0" xfId="0" applyNumberFormat="1" applyFont="1" applyAlignment="1">
      <alignment horizontal="left" vertical="center"/>
    </xf>
    <xf numFmtId="179" fontId="26" fillId="0" borderId="0" xfId="0" applyNumberFormat="1" applyFont="1" applyAlignment="1">
      <alignment horizontal="left" vertical="center"/>
    </xf>
    <xf numFmtId="2" fontId="27" fillId="0" borderId="0" xfId="16" applyFont="1" applyFill="1">
      <alignment horizontal="center" vertical="center"/>
    </xf>
    <xf numFmtId="2" fontId="26" fillId="0" borderId="0" xfId="16" applyFont="1" applyFill="1">
      <alignment horizontal="center" vertical="center"/>
    </xf>
    <xf numFmtId="171" fontId="26" fillId="0" borderId="0" xfId="0" applyNumberFormat="1" applyFont="1">
      <alignment vertical="center"/>
    </xf>
    <xf numFmtId="2" fontId="26" fillId="0" borderId="0" xfId="0" applyFont="1" applyAlignment="1">
      <alignment vertical="top" wrapText="1"/>
    </xf>
    <xf numFmtId="2" fontId="26" fillId="0" borderId="0" xfId="0" applyFont="1" applyAlignment="1">
      <alignment vertical="center" wrapText="1"/>
    </xf>
    <xf numFmtId="181" fontId="26" fillId="0" borderId="0" xfId="0" applyNumberFormat="1" applyFont="1" applyAlignment="1">
      <alignment vertical="center" wrapText="1"/>
    </xf>
    <xf numFmtId="2" fontId="27" fillId="0" borderId="6" xfId="0" applyFont="1" applyBorder="1" applyAlignment="1">
      <alignment horizontal="center" vertical="center" wrapText="1"/>
    </xf>
    <xf numFmtId="166" fontId="27" fillId="0" borderId="6" xfId="0" applyNumberFormat="1" applyFont="1" applyBorder="1" applyAlignment="1">
      <alignment horizontal="center" vertical="center" wrapText="1"/>
    </xf>
    <xf numFmtId="2" fontId="26" fillId="0" borderId="6" xfId="0" applyFont="1" applyBorder="1" applyAlignment="1">
      <alignment horizontal="center" vertical="center"/>
    </xf>
    <xf numFmtId="2" fontId="26" fillId="0" borderId="6" xfId="0" applyFont="1" applyBorder="1" applyAlignment="1">
      <alignment horizontal="center" vertical="center" wrapText="1"/>
    </xf>
    <xf numFmtId="180" fontId="27" fillId="9" borderId="9" xfId="0" applyNumberFormat="1" applyFont="1" applyFill="1" applyBorder="1" applyAlignment="1">
      <alignment horizontal="center" vertical="center"/>
    </xf>
    <xf numFmtId="164" fontId="27" fillId="0" borderId="9" xfId="0" applyNumberFormat="1" applyFont="1" applyBorder="1" applyAlignment="1">
      <alignment horizontal="center" vertical="center"/>
    </xf>
    <xf numFmtId="164" fontId="26" fillId="0" borderId="0" xfId="0" applyNumberFormat="1" applyFont="1" applyAlignment="1">
      <alignment horizontal="left" vertical="center"/>
    </xf>
    <xf numFmtId="1" fontId="26" fillId="0" borderId="0" xfId="0" applyNumberFormat="1" applyFont="1">
      <alignment vertical="center"/>
    </xf>
    <xf numFmtId="1" fontId="26" fillId="0" borderId="0" xfId="0" applyNumberFormat="1" applyFont="1" applyAlignment="1">
      <alignment horizontal="center" vertical="center"/>
    </xf>
    <xf numFmtId="1" fontId="27" fillId="0" borderId="0" xfId="0" applyNumberFormat="1" applyFont="1" applyAlignment="1">
      <alignment horizontal="center" vertical="center"/>
    </xf>
    <xf numFmtId="1" fontId="27" fillId="9" borderId="6" xfId="0" applyNumberFormat="1" applyFont="1" applyFill="1" applyBorder="1" applyAlignment="1">
      <alignment horizontal="center" vertical="center"/>
    </xf>
    <xf numFmtId="164" fontId="26" fillId="9" borderId="6" xfId="0" applyNumberFormat="1" applyFont="1" applyFill="1" applyBorder="1" applyAlignment="1">
      <alignment horizontal="center" vertical="center"/>
    </xf>
    <xf numFmtId="165" fontId="26" fillId="0" borderId="6" xfId="0" applyNumberFormat="1" applyFont="1" applyBorder="1" applyAlignment="1">
      <alignment horizontal="center" vertical="center"/>
    </xf>
    <xf numFmtId="1" fontId="26" fillId="0" borderId="0" xfId="0" applyNumberFormat="1" applyFont="1" applyAlignment="1">
      <alignment horizontal="left" vertical="center"/>
    </xf>
    <xf numFmtId="1" fontId="27" fillId="0" borderId="6" xfId="0" applyNumberFormat="1" applyFont="1" applyBorder="1" applyAlignment="1">
      <alignment horizontal="center" vertical="center"/>
    </xf>
    <xf numFmtId="164" fontId="26" fillId="0" borderId="6" xfId="0" applyNumberFormat="1" applyFont="1" applyBorder="1" applyAlignment="1">
      <alignment horizontal="center" vertical="center"/>
    </xf>
    <xf numFmtId="167" fontId="26" fillId="0" borderId="0" xfId="0" applyNumberFormat="1" applyFont="1">
      <alignment vertical="center"/>
    </xf>
    <xf numFmtId="177" fontId="26" fillId="0" borderId="0" xfId="0" applyNumberFormat="1" applyFont="1" applyAlignment="1">
      <alignment horizontal="right" vertical="center"/>
    </xf>
    <xf numFmtId="177" fontId="26" fillId="0" borderId="0" xfId="0" applyNumberFormat="1" applyFont="1">
      <alignment vertical="center"/>
    </xf>
    <xf numFmtId="166" fontId="26" fillId="0" borderId="8" xfId="0" applyNumberFormat="1" applyFont="1" applyBorder="1" applyAlignment="1">
      <alignment horizontal="center" vertical="center"/>
    </xf>
    <xf numFmtId="2" fontId="26" fillId="0" borderId="8" xfId="0" applyFont="1" applyBorder="1" applyAlignment="1">
      <alignment horizontal="center" vertical="center"/>
    </xf>
    <xf numFmtId="182" fontId="26" fillId="0" borderId="0" xfId="0" applyNumberFormat="1" applyFont="1" applyAlignment="1">
      <alignment horizontal="center" vertical="center"/>
    </xf>
    <xf numFmtId="167" fontId="27" fillId="0" borderId="0" xfId="0" applyNumberFormat="1" applyFont="1">
      <alignment vertical="center"/>
    </xf>
    <xf numFmtId="2" fontId="31" fillId="0" borderId="0" xfId="0" applyFont="1">
      <alignment vertical="center"/>
    </xf>
    <xf numFmtId="2" fontId="26" fillId="0" borderId="0" xfId="0" applyFont="1" applyAlignment="1">
      <alignment vertical="top"/>
    </xf>
    <xf numFmtId="2" fontId="32" fillId="0" borderId="0" xfId="0" applyFont="1">
      <alignment vertical="center"/>
    </xf>
    <xf numFmtId="2" fontId="31" fillId="0" borderId="0" xfId="0" applyFont="1" applyAlignment="1">
      <alignment horizontal="center" vertical="center"/>
    </xf>
    <xf numFmtId="2" fontId="33" fillId="0" borderId="0" xfId="0" applyFont="1">
      <alignment vertical="center"/>
    </xf>
    <xf numFmtId="2" fontId="31" fillId="0" borderId="0" xfId="0" applyFont="1" applyAlignment="1">
      <alignment horizontal="left" vertical="center"/>
    </xf>
    <xf numFmtId="2" fontId="31" fillId="0" borderId="0" xfId="0" applyFont="1" applyAlignment="1">
      <alignment horizontal="center" vertical="center"/>
    </xf>
    <xf numFmtId="2" fontId="31" fillId="0" borderId="0" xfId="0" applyFont="1" applyAlignment="1">
      <alignment horizontal="right" vertical="center"/>
    </xf>
    <xf numFmtId="164" fontId="26" fillId="0" borderId="0" xfId="0" applyNumberFormat="1" applyFont="1" applyAlignment="1">
      <alignment horizontal="left" vertical="center"/>
    </xf>
    <xf numFmtId="186" fontId="26" fillId="0" borderId="0" xfId="0" applyNumberFormat="1" applyFont="1" applyAlignment="1">
      <alignment horizontal="left" vertical="center"/>
    </xf>
    <xf numFmtId="168" fontId="26" fillId="0" borderId="0" xfId="0" applyNumberFormat="1" applyFont="1" applyAlignment="1">
      <alignment horizontal="center" vertical="center"/>
    </xf>
    <xf numFmtId="186" fontId="26" fillId="0" borderId="0" xfId="0" applyNumberFormat="1" applyFont="1" applyAlignment="1">
      <alignment horizontal="center" vertical="center"/>
    </xf>
    <xf numFmtId="186" fontId="26" fillId="0" borderId="0" xfId="0" applyNumberFormat="1" applyFont="1">
      <alignment vertical="center"/>
    </xf>
    <xf numFmtId="2" fontId="34" fillId="0" borderId="0" xfId="0" applyFont="1">
      <alignment vertical="center"/>
    </xf>
    <xf numFmtId="168" fontId="26" fillId="0" borderId="0" xfId="0" applyNumberFormat="1" applyFont="1">
      <alignment vertical="center"/>
    </xf>
    <xf numFmtId="166" fontId="31" fillId="0" borderId="0" xfId="0" applyNumberFormat="1" applyFont="1">
      <alignment vertical="center"/>
    </xf>
    <xf numFmtId="2" fontId="26" fillId="9" borderId="0" xfId="0" applyFont="1" applyFill="1" applyAlignment="1">
      <alignment horizontal="center" vertical="center"/>
    </xf>
    <xf numFmtId="2" fontId="26" fillId="0" borderId="8" xfId="0" applyFont="1" applyBorder="1">
      <alignment vertical="center"/>
    </xf>
    <xf numFmtId="173" fontId="26" fillId="0" borderId="0" xfId="0" applyNumberFormat="1" applyFont="1">
      <alignment vertical="center"/>
    </xf>
    <xf numFmtId="173" fontId="26" fillId="0" borderId="0" xfId="0" applyNumberFormat="1" applyFont="1">
      <alignment vertical="center"/>
    </xf>
    <xf numFmtId="2" fontId="26" fillId="0" borderId="0" xfId="0" applyFont="1" applyAlignment="1">
      <alignment horizontal="center"/>
    </xf>
    <xf numFmtId="2" fontId="26" fillId="0" borderId="8" xfId="0" applyFont="1" applyBorder="1">
      <alignment vertical="center"/>
    </xf>
    <xf numFmtId="171" fontId="26" fillId="0" borderId="0" xfId="0" applyNumberFormat="1" applyFont="1" applyAlignment="1">
      <alignment horizontal="right" vertical="center"/>
    </xf>
    <xf numFmtId="2" fontId="17" fillId="0" borderId="0" xfId="0" applyFont="1" applyAlignment="1">
      <alignment horizontal="right" vertical="center"/>
    </xf>
    <xf numFmtId="167" fontId="26" fillId="0" borderId="0" xfId="0" applyNumberFormat="1" applyFont="1" applyAlignment="1">
      <alignment horizontal="center" vertical="center"/>
    </xf>
    <xf numFmtId="171" fontId="26" fillId="0" borderId="0" xfId="0" applyNumberFormat="1" applyFont="1">
      <alignment vertical="center"/>
    </xf>
    <xf numFmtId="166" fontId="26" fillId="0" borderId="0" xfId="0" applyNumberFormat="1" applyFont="1">
      <alignment vertical="center"/>
    </xf>
    <xf numFmtId="187" fontId="26" fillId="0" borderId="0" xfId="0" applyNumberFormat="1" applyFont="1" applyAlignment="1">
      <alignment vertical="center" wrapText="1"/>
    </xf>
    <xf numFmtId="176" fontId="26" fillId="0" borderId="0" xfId="0" applyNumberFormat="1" applyFont="1" applyAlignment="1">
      <alignment horizontal="center" vertical="top"/>
    </xf>
    <xf numFmtId="176" fontId="26" fillId="0" borderId="0" xfId="0" applyNumberFormat="1" applyFont="1" applyAlignment="1">
      <alignment vertical="top"/>
    </xf>
    <xf numFmtId="2" fontId="26" fillId="0" borderId="7" xfId="0" applyFont="1" applyBorder="1" applyAlignment="1">
      <alignment horizontal="center" vertical="center"/>
    </xf>
    <xf numFmtId="168" fontId="26" fillId="0" borderId="0" xfId="0" applyNumberFormat="1" applyFont="1" applyAlignment="1">
      <alignment horizontal="left" vertical="center"/>
    </xf>
    <xf numFmtId="172" fontId="26" fillId="0" borderId="0" xfId="0" applyNumberFormat="1" applyFont="1" applyAlignment="1">
      <alignment horizontal="right" vertical="center"/>
    </xf>
    <xf numFmtId="174" fontId="26" fillId="0" borderId="0" xfId="0" applyNumberFormat="1" applyFont="1">
      <alignment vertical="center"/>
    </xf>
    <xf numFmtId="164" fontId="26" fillId="0" borderId="0" xfId="0" applyNumberFormat="1" applyFont="1">
      <alignment vertical="center"/>
    </xf>
    <xf numFmtId="2" fontId="26" fillId="0" borderId="8" xfId="0" applyFont="1" applyBorder="1" applyAlignment="1">
      <alignment horizontal="center" vertical="center"/>
    </xf>
    <xf numFmtId="173" fontId="26" fillId="0" borderId="0" xfId="0" applyNumberFormat="1" applyFont="1" applyAlignment="1">
      <alignment horizontal="left" vertical="center"/>
    </xf>
    <xf numFmtId="175" fontId="26" fillId="0" borderId="0" xfId="0" applyNumberFormat="1" applyFont="1">
      <alignment vertical="center"/>
    </xf>
    <xf numFmtId="2" fontId="27" fillId="0" borderId="0" xfId="0" applyFont="1" applyAlignment="1">
      <alignment horizontal="center" vertical="center"/>
    </xf>
    <xf numFmtId="2" fontId="27" fillId="0" borderId="0" xfId="0" applyFont="1" applyAlignment="1">
      <alignment vertical="center" wrapText="1"/>
    </xf>
    <xf numFmtId="173" fontId="26" fillId="0" borderId="0" xfId="0" applyNumberFormat="1" applyFont="1" applyAlignment="1">
      <alignment horizontal="left" vertical="center"/>
    </xf>
    <xf numFmtId="175" fontId="26" fillId="0" borderId="0" xfId="0" applyNumberFormat="1" applyFont="1">
      <alignment vertical="center"/>
    </xf>
    <xf numFmtId="2" fontId="36" fillId="0" borderId="0" xfId="0" applyFont="1" applyAlignment="1">
      <alignment vertical="center" wrapText="1"/>
    </xf>
    <xf numFmtId="2" fontId="37" fillId="0" borderId="0" xfId="0" applyFont="1">
      <alignment vertical="center"/>
    </xf>
    <xf numFmtId="2" fontId="38" fillId="0" borderId="0" xfId="0" applyFont="1">
      <alignment vertical="center"/>
    </xf>
    <xf numFmtId="2" fontId="38" fillId="0" borderId="0" xfId="0" applyFont="1" applyAlignment="1">
      <alignment horizontal="right" vertical="center"/>
    </xf>
    <xf numFmtId="2" fontId="38" fillId="0" borderId="0" xfId="0" applyFont="1" applyAlignment="1">
      <alignment vertical="center" wrapText="1"/>
    </xf>
    <xf numFmtId="2" fontId="26" fillId="0" borderId="0" xfId="0" applyFont="1" applyAlignment="1">
      <alignment horizontal="center" vertical="center" wrapText="1"/>
    </xf>
    <xf numFmtId="177" fontId="26" fillId="0" borderId="0" xfId="0" applyNumberFormat="1" applyFont="1" applyAlignment="1">
      <alignment horizontal="left" vertical="center"/>
    </xf>
    <xf numFmtId="168" fontId="26" fillId="0" borderId="0" xfId="0" applyNumberFormat="1" applyFont="1" applyAlignment="1">
      <alignment horizontal="right" vertical="center"/>
    </xf>
    <xf numFmtId="167" fontId="26" fillId="0" borderId="0" xfId="0" applyNumberFormat="1" applyFont="1" applyAlignment="1">
      <alignment horizontal="left" vertical="center"/>
    </xf>
    <xf numFmtId="184" fontId="26" fillId="0" borderId="0" xfId="0" applyNumberFormat="1" applyFont="1" applyAlignment="1">
      <alignment horizontal="left" vertical="center"/>
    </xf>
    <xf numFmtId="183" fontId="26" fillId="0" borderId="0" xfId="0" applyNumberFormat="1" applyFont="1" applyAlignment="1">
      <alignment horizontal="left" vertical="center"/>
    </xf>
    <xf numFmtId="185" fontId="26" fillId="0" borderId="0" xfId="0" applyNumberFormat="1" applyFont="1" applyAlignment="1">
      <alignment horizontal="center" vertical="center"/>
    </xf>
    <xf numFmtId="2" fontId="20" fillId="0" borderId="0" xfId="2" applyFont="1">
      <alignment vertical="center"/>
    </xf>
    <xf numFmtId="2" fontId="26" fillId="0" borderId="0" xfId="0" applyFont="1" applyAlignment="1">
      <alignment horizontal="left" vertical="top" wrapText="1"/>
    </xf>
    <xf numFmtId="2" fontId="26" fillId="0" borderId="0" xfId="0" applyFont="1" applyAlignment="1">
      <alignment horizontal="left" vertical="center" wrapText="1"/>
    </xf>
    <xf numFmtId="2" fontId="25" fillId="0" borderId="0" xfId="0" applyFont="1" applyAlignment="1">
      <alignment horizontal="left" vertical="center"/>
    </xf>
    <xf numFmtId="2" fontId="28" fillId="0" borderId="0" xfId="0" applyFont="1" applyAlignment="1">
      <alignment horizontal="left" vertical="center"/>
    </xf>
    <xf numFmtId="1" fontId="27" fillId="9" borderId="0" xfId="0" applyNumberFormat="1" applyFont="1" applyFill="1" applyAlignment="1">
      <alignment horizontal="center" vertical="center"/>
    </xf>
    <xf numFmtId="2" fontId="26" fillId="0" borderId="0" xfId="14" applyFont="1" applyAlignment="1">
      <alignment horizontal="left" vertical="center"/>
    </xf>
    <xf numFmtId="170" fontId="27" fillId="9" borderId="0" xfId="0" applyNumberFormat="1" applyFont="1" applyFill="1" applyAlignment="1">
      <alignment horizontal="center" vertical="center"/>
    </xf>
    <xf numFmtId="2" fontId="26" fillId="0" borderId="0" xfId="14" applyFont="1">
      <alignment vertical="center"/>
    </xf>
    <xf numFmtId="2" fontId="27" fillId="9" borderId="0" xfId="0" applyFont="1" applyFill="1" applyAlignment="1">
      <alignment horizontal="center" vertical="center"/>
    </xf>
    <xf numFmtId="2" fontId="40" fillId="0" borderId="0" xfId="0" applyFont="1" applyAlignment="1">
      <alignment horizontal="right" vertical="center"/>
    </xf>
    <xf numFmtId="169" fontId="26" fillId="0" borderId="0" xfId="0" applyNumberFormat="1" applyFont="1" applyAlignment="1">
      <alignment horizontal="left" vertical="center"/>
    </xf>
    <xf numFmtId="2" fontId="27" fillId="9" borderId="0" xfId="14" applyFont="1" applyFill="1" applyAlignment="1">
      <alignment horizontal="center" vertical="center"/>
    </xf>
    <xf numFmtId="2" fontId="26" fillId="0" borderId="8" xfId="0" applyFont="1" applyBorder="1" applyAlignment="1">
      <alignment horizontal="right" vertical="center"/>
    </xf>
    <xf numFmtId="2" fontId="27" fillId="9" borderId="8" xfId="14" applyFont="1" applyFill="1" applyBorder="1" applyAlignment="1">
      <alignment horizontal="center" vertical="center"/>
    </xf>
    <xf numFmtId="2" fontId="26" fillId="0" borderId="8" xfId="14" applyFont="1" applyBorder="1">
      <alignment vertical="center"/>
    </xf>
    <xf numFmtId="2" fontId="27" fillId="0" borderId="0" xfId="14" applyFont="1" applyAlignment="1">
      <alignment horizontal="center" vertical="center"/>
    </xf>
    <xf numFmtId="165" fontId="26" fillId="0" borderId="0" xfId="14" applyNumberFormat="1" applyFont="1" applyAlignment="1">
      <alignment horizontal="left" vertical="center"/>
    </xf>
    <xf numFmtId="167" fontId="26" fillId="0" borderId="0" xfId="14" applyNumberFormat="1" applyFont="1">
      <alignment vertical="center"/>
    </xf>
    <xf numFmtId="2" fontId="26" fillId="0" borderId="0" xfId="2" applyFont="1" applyAlignment="1">
      <alignment vertical="center" wrapText="1"/>
    </xf>
    <xf numFmtId="2" fontId="27" fillId="0" borderId="0" xfId="2" applyFont="1">
      <alignment vertical="center"/>
    </xf>
    <xf numFmtId="164" fontId="27" fillId="0" borderId="0" xfId="0" applyNumberFormat="1" applyFont="1" applyAlignment="1">
      <alignment horizontal="center" vertical="center"/>
    </xf>
    <xf numFmtId="164" fontId="27" fillId="9" borderId="0" xfId="0" applyNumberFormat="1" applyFont="1" applyFill="1" applyAlignment="1">
      <alignment horizontal="center" vertical="center"/>
    </xf>
    <xf numFmtId="2" fontId="26" fillId="0" borderId="0" xfId="0" applyFont="1" applyAlignment="1">
      <alignment horizontal="left" vertical="center" wrapText="1"/>
    </xf>
    <xf numFmtId="2" fontId="26" fillId="0" borderId="0" xfId="0" applyFont="1" applyAlignment="1">
      <alignment horizontal="right" vertical="center" wrapText="1"/>
    </xf>
    <xf numFmtId="2" fontId="27" fillId="9" borderId="0" xfId="0" applyFont="1" applyFill="1" applyAlignment="1">
      <alignment horizontal="center" vertical="center" wrapText="1"/>
    </xf>
    <xf numFmtId="2" fontId="25" fillId="0" borderId="0" xfId="2" applyFont="1">
      <alignment vertical="center"/>
    </xf>
    <xf numFmtId="2" fontId="27" fillId="9" borderId="0" xfId="16" applyFont="1">
      <alignment horizontal="center" vertical="center"/>
    </xf>
    <xf numFmtId="164" fontId="27" fillId="9" borderId="0" xfId="16" applyNumberFormat="1" applyFont="1">
      <alignment horizontal="center" vertical="center"/>
    </xf>
    <xf numFmtId="1" fontId="27" fillId="9" borderId="0" xfId="16" applyNumberFormat="1" applyFont="1">
      <alignment horizontal="center" vertical="center"/>
    </xf>
    <xf numFmtId="1" fontId="27" fillId="0" borderId="0" xfId="16" applyNumberFormat="1" applyFont="1" applyFill="1">
      <alignment horizontal="center" vertical="center"/>
    </xf>
    <xf numFmtId="164" fontId="27" fillId="0" borderId="0" xfId="16" applyNumberFormat="1" applyFont="1" applyFill="1">
      <alignment horizontal="center" vertical="center"/>
    </xf>
    <xf numFmtId="2" fontId="14" fillId="0" borderId="0" xfId="1" applyFont="1">
      <alignment horizontal="right" vertical="center"/>
    </xf>
    <xf numFmtId="2" fontId="26" fillId="0" borderId="0" xfId="0" applyFont="1" applyAlignment="1">
      <alignment vertical="center"/>
    </xf>
  </cellXfs>
  <cellStyles count="26">
    <cellStyle name="Bad" xfId="4" builtinId="27" hidden="1"/>
    <cellStyle name="Calculation" xfId="8" builtinId="22" hidden="1"/>
    <cellStyle name="Calculation" xfId="18" builtinId="22" hidden="1"/>
    <cellStyle name="Calculation" xfId="20" builtinId="22"/>
    <cellStyle name="Check Cell" xfId="10" builtinId="23" hidden="1"/>
    <cellStyle name="Emphasis" xfId="15" xr:uid="{00000000-0005-0000-0000-000005000000}"/>
    <cellStyle name="Explanatory Text" xfId="13" builtinId="53" hidden="1"/>
    <cellStyle name="Explanatory Text" xfId="19" builtinId="53" hidden="1"/>
    <cellStyle name="Explanatory Text" xfId="21" builtinId="53" hidden="1"/>
    <cellStyle name="Followed Hyperlink" xfId="23" builtinId="9" hidden="1"/>
    <cellStyle name="Followed Hyperlink" xfId="25" builtinId="9" hidden="1"/>
    <cellStyle name="Good" xfId="3" builtinId="26" hidden="1"/>
    <cellStyle name="Heading 1" xfId="1" builtinId="16" customBuiltin="1"/>
    <cellStyle name="Heading 2" xfId="2" builtinId="17" customBuiltin="1"/>
    <cellStyle name="Hyperlink" xfId="22" builtinId="8" hidden="1"/>
    <cellStyle name="Hyperlink" xfId="24" builtinId="8" hidden="1"/>
    <cellStyle name="Input" xfId="6" builtinId="20" hidden="1"/>
    <cellStyle name="Input" xfId="16" builtinId="20" customBuiltin="1"/>
    <cellStyle name="Linked Cell" xfId="9" builtinId="24" hidden="1"/>
    <cellStyle name="Neutral" xfId="5" builtinId="28" hidden="1"/>
    <cellStyle name="Normal" xfId="0" builtinId="0"/>
    <cellStyle name="Note" xfId="12" builtinId="10" hidden="1"/>
    <cellStyle name="Output" xfId="7" builtinId="21" hidden="1"/>
    <cellStyle name="Units" xfId="14" xr:uid="{00000000-0005-0000-0000-000017000000}"/>
    <cellStyle name="Validation" xfId="17" xr:uid="{00000000-0005-0000-0000-000018000000}"/>
    <cellStyle name="Warning Text" xfId="11" builtinId="11" hidden="1"/>
  </cellStyles>
  <dxfs count="2">
    <dxf>
      <font>
        <b/>
        <i val="0"/>
        <color rgb="FF9C0006"/>
      </font>
      <fill>
        <patternFill patternType="none">
          <bgColor auto="1"/>
        </patternFill>
      </fill>
    </dxf>
    <dxf>
      <font>
        <b/>
        <i val="0"/>
        <color rgb="FF0000FF"/>
      </font>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533400</xdr:colOff>
      <xdr:row>437</xdr:row>
      <xdr:rowOff>0</xdr:rowOff>
    </xdr:from>
    <xdr:ext cx="28575" cy="209550"/>
    <xdr:sp macro="" textlink="">
      <xdr:nvSpPr>
        <xdr:cNvPr id="2" name="Text Box 35">
          <a:extLst>
            <a:ext uri="{FF2B5EF4-FFF2-40B4-BE49-F238E27FC236}">
              <a16:creationId xmlns:a16="http://schemas.microsoft.com/office/drawing/2014/main" id="{00000000-0008-0000-0300-000002000000}"/>
            </a:ext>
          </a:extLst>
        </xdr:cNvPr>
        <xdr:cNvSpPr txBox="1">
          <a:spLocks noChangeArrowheads="1"/>
        </xdr:cNvSpPr>
      </xdr:nvSpPr>
      <xdr:spPr bwMode="auto">
        <a:xfrm>
          <a:off x="7715250" y="53968650"/>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0</xdr:col>
      <xdr:colOff>481011</xdr:colOff>
      <xdr:row>155</xdr:row>
      <xdr:rowOff>95250</xdr:rowOff>
    </xdr:from>
    <xdr:ext cx="1566863" cy="43928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81011" y="21402675"/>
              <a:ext cx="1566863"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𝑆</m:t>
                    </m:r>
                    <m:r>
                      <a:rPr lang="en-US" sz="1100" b="0" i="1" baseline="-25000">
                        <a:latin typeface="Cambria Math"/>
                      </a:rPr>
                      <m:t>𝑖</m:t>
                    </m:r>
                    <m:r>
                      <a:rPr lang="en-US" sz="1100" b="0" i="1">
                        <a:latin typeface="Cambria Math"/>
                      </a:rPr>
                      <m:t>= </m:t>
                    </m:r>
                    <m:f>
                      <m:fPr>
                        <m:ctrlPr>
                          <a:rPr lang="en-US" sz="1100" b="0" i="1">
                            <a:latin typeface="Cambria Math" panose="02040503050406030204" pitchFamily="18" charset="0"/>
                          </a:rPr>
                        </m:ctrlPr>
                      </m:fPr>
                      <m:num>
                        <m:r>
                          <a:rPr lang="en-US" sz="1100" b="0" i="1">
                            <a:latin typeface="Cambria Math"/>
                          </a:rPr>
                          <m:t>𝐿𝑊</m:t>
                        </m:r>
                      </m:num>
                      <m:den>
                        <m:r>
                          <a:rPr lang="en-US" sz="1100" b="0" i="1">
                            <a:latin typeface="Cambria Math"/>
                          </a:rPr>
                          <m:t>2</m:t>
                        </m:r>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r>
                          <a:rPr lang="en-US" sz="1100" b="0" i="1">
                            <a:latin typeface="Cambria Math"/>
                          </a:rPr>
                          <m:t>(</m:t>
                        </m:r>
                        <m:r>
                          <a:rPr lang="en-US" sz="1100" b="0" i="1">
                            <a:latin typeface="Cambria Math"/>
                          </a:rPr>
                          <m:t>𝐿</m:t>
                        </m:r>
                        <m:r>
                          <a:rPr lang="en-US" sz="1100" b="0" i="1">
                            <a:latin typeface="Cambria Math"/>
                          </a:rPr>
                          <m:t>+</m:t>
                        </m:r>
                        <m:r>
                          <a:rPr lang="en-US" sz="1100" b="0" i="1">
                            <a:latin typeface="Cambria Math"/>
                          </a:rPr>
                          <m:t>𝑊</m:t>
                        </m:r>
                        <m:r>
                          <a:rPr lang="en-US" sz="1100" b="0" i="1">
                            <a:latin typeface="Cambria Math"/>
                          </a:rPr>
                          <m:t>)</m:t>
                        </m:r>
                      </m:den>
                    </m:f>
                    <m:r>
                      <a:rPr lang="en-US" sz="1100" b="0" i="1">
                        <a:latin typeface="Cambria Math"/>
                      </a:rPr>
                      <m:t> </m:t>
                    </m:r>
                    <m:r>
                      <a:rPr lang="en-US" sz="1100" b="0" i="0">
                        <a:latin typeface="Cambria Math"/>
                        <a:ea typeface="Cambria Math"/>
                      </a:rPr>
                      <m:t>=</m:t>
                    </m:r>
                  </m:oMath>
                </m:oMathPara>
              </a14:m>
              <a:endParaRPr lang="en-US" sz="1100"/>
            </a:p>
          </xdr:txBody>
        </xdr:sp>
      </mc:Choice>
      <mc:Fallback xmlns="">
        <xdr:sp macro="" textlink="">
          <xdr:nvSpPr>
            <xdr:cNvPr id="3" name="TextBox 2"/>
            <xdr:cNvSpPr txBox="1"/>
          </xdr:nvSpPr>
          <xdr:spPr>
            <a:xfrm>
              <a:off x="481011" y="21402675"/>
              <a:ext cx="1566863"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𝑆</a:t>
              </a:r>
              <a:r>
                <a:rPr lang="en-US" sz="1100" b="0" i="0" baseline="-25000">
                  <a:latin typeface="Cambria Math"/>
                </a:rPr>
                <a:t>𝑖</a:t>
              </a:r>
              <a:r>
                <a:rPr lang="en-US" sz="1100" b="0" i="0">
                  <a:latin typeface="Cambria Math"/>
                </a:rPr>
                <a:t>=  𝐿𝑊/(2ℎ_𝑟𝑖 (𝐿+𝑊))  </a:t>
              </a:r>
              <a:r>
                <a:rPr lang="en-US" sz="1100" b="0" i="0">
                  <a:latin typeface="Cambria Math"/>
                  <a:ea typeface="Cambria Math"/>
                </a:rPr>
                <a:t>=</a:t>
              </a:r>
              <a:endParaRPr lang="en-US" sz="1100"/>
            </a:p>
          </xdr:txBody>
        </xdr:sp>
      </mc:Fallback>
    </mc:AlternateContent>
    <xdr:clientData/>
  </xdr:oneCellAnchor>
  <xdr:oneCellAnchor>
    <xdr:from>
      <xdr:col>1</xdr:col>
      <xdr:colOff>214312</xdr:colOff>
      <xdr:row>262</xdr:row>
      <xdr:rowOff>95250</xdr:rowOff>
    </xdr:from>
    <xdr:ext cx="1147764"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19137" y="24803100"/>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≤0.125"</m:t>
                  </m:r>
                </m:oMath>
              </a14:m>
              <a:r>
                <a:rPr lang="en-US" sz="1100"/>
                <a:t> </a:t>
              </a:r>
            </a:p>
          </xdr:txBody>
        </xdr:sp>
      </mc:Choice>
      <mc:Fallback xmlns="">
        <xdr:sp macro="" textlink="">
          <xdr:nvSpPr>
            <xdr:cNvPr id="4" name="TextBox 3"/>
            <xdr:cNvSpPr txBox="1"/>
          </xdr:nvSpPr>
          <xdr:spPr>
            <a:xfrm>
              <a:off x="719137" y="24803100"/>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≤0.125"</a:t>
              </a:r>
              <a:r>
                <a:rPr lang="en-US" sz="1100"/>
                <a:t> </a:t>
              </a:r>
            </a:p>
          </xdr:txBody>
        </xdr:sp>
      </mc:Fallback>
    </mc:AlternateContent>
    <xdr:clientData/>
  </xdr:oneCellAnchor>
  <xdr:oneCellAnchor>
    <xdr:from>
      <xdr:col>2</xdr:col>
      <xdr:colOff>109537</xdr:colOff>
      <xdr:row>266</xdr:row>
      <xdr:rowOff>95250</xdr:rowOff>
    </xdr:from>
    <xdr:ext cx="519114" cy="26456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119187" y="2545080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𝐿𝑖</m:t>
                      </m:r>
                    </m:sub>
                  </m:sSub>
                  <m:r>
                    <a:rPr lang="en-US" sz="1100" b="0" i="0">
                      <a:latin typeface="Cambria Math"/>
                      <a:ea typeface="Cambria Math"/>
                    </a:rPr>
                    <m:t>=</m:t>
                  </m:r>
                </m:oMath>
              </a14:m>
              <a:r>
                <a:rPr lang="en-US" sz="1100"/>
                <a:t> </a:t>
              </a:r>
            </a:p>
          </xdr:txBody>
        </xdr:sp>
      </mc:Choice>
      <mc:Fallback xmlns="">
        <xdr:sp macro="" textlink="">
          <xdr:nvSpPr>
            <xdr:cNvPr id="6" name="TextBox 5">
              <a:extLst>
                <a:ext uri="{FF2B5EF4-FFF2-40B4-BE49-F238E27FC236}">
                  <a16:creationId xmlns:a16="http://schemas.microsoft.com/office/drawing/2014/main" xmlns:a14="http://schemas.microsoft.com/office/drawing/2010/main" xmlns="" id="{00000000-0008-0000-0300-000006000000}"/>
                </a:ext>
              </a:extLst>
            </xdr:cNvPr>
            <xdr:cNvSpPr txBox="1"/>
          </xdr:nvSpPr>
          <xdr:spPr>
            <a:xfrm>
              <a:off x="1119187" y="2545080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𝜀_𝐿𝑖=</a:t>
              </a:r>
              <a:r>
                <a:rPr lang="en-US" sz="1100"/>
                <a:t> </a:t>
              </a:r>
            </a:p>
          </xdr:txBody>
        </xdr:sp>
      </mc:Fallback>
    </mc:AlternateContent>
    <xdr:clientData/>
  </xdr:oneCellAnchor>
  <xdr:oneCellAnchor>
    <xdr:from>
      <xdr:col>2</xdr:col>
      <xdr:colOff>61912</xdr:colOff>
      <xdr:row>268</xdr:row>
      <xdr:rowOff>123825</xdr:rowOff>
    </xdr:from>
    <xdr:ext cx="1404938" cy="441018"/>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071562" y="43434000"/>
              <a:ext cx="1404938" cy="44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𝐿𝑖</m:t>
                        </m:r>
                      </m:sub>
                    </m:sSub>
                    <m:r>
                      <a:rPr lang="en-US" sz="1100" b="0" i="0">
                        <a:latin typeface="Cambria Math"/>
                        <a:ea typeface="+mn-ea"/>
                      </a:rPr>
                      <m:t>=</m:t>
                    </m:r>
                    <m:f>
                      <m:fPr>
                        <m:ctrlPr>
                          <a:rPr lang="en-US" sz="1100" b="0" i="1">
                            <a:latin typeface="Cambria Math" panose="02040503050406030204" pitchFamily="18" charset="0"/>
                            <a:ea typeface="+mn-ea"/>
                          </a:rPr>
                        </m:ctrlPr>
                      </m:fPr>
                      <m:num>
                        <m:sSub>
                          <m:sSubPr>
                            <m:ctrlPr>
                              <a:rPr lang="en-US" sz="1100" b="0" i="1">
                                <a:latin typeface="Cambria Math" panose="02040503050406030204" pitchFamily="18" charset="0"/>
                                <a:ea typeface="+mn-ea"/>
                              </a:rPr>
                            </m:ctrlPr>
                          </m:sSubPr>
                          <m:e>
                            <m:r>
                              <a:rPr lang="en-US" sz="1100" b="0" i="1">
                                <a:latin typeface="Cambria Math"/>
                                <a:ea typeface="Cambria Math"/>
                              </a:rPr>
                              <m:t>𝜎</m:t>
                            </m:r>
                          </m:e>
                          <m:sub>
                            <m:r>
                              <a:rPr lang="en-US" sz="1100" b="0" i="1">
                                <a:latin typeface="Cambria Math"/>
                                <a:ea typeface="Cambria Math"/>
                              </a:rPr>
                              <m:t>𝐿</m:t>
                            </m:r>
                          </m:sub>
                        </m:sSub>
                      </m:num>
                      <m:den>
                        <m:r>
                          <a:rPr lang="en-US" sz="1100" b="0" i="1">
                            <a:latin typeface="Cambria Math"/>
                            <a:ea typeface="+mn-ea"/>
                          </a:rPr>
                          <m:t>4.8</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p>
                          <m:sSupPr>
                            <m:ctrlPr>
                              <a:rPr lang="en-US" sz="1100" b="0" i="1">
                                <a:solidFill>
                                  <a:schemeClr val="tx1"/>
                                </a:solidFill>
                                <a:effectLst/>
                                <a:latin typeface="Cambria Math" panose="02040503050406030204" pitchFamily="18" charset="0"/>
                                <a:ea typeface="+mn-ea"/>
                                <a:cs typeface="+mn-cs"/>
                              </a:rPr>
                            </m:ctrlPr>
                          </m:sSup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𝑆</m:t>
                                </m:r>
                              </m:e>
                              <m:sub>
                                <m:r>
                                  <a:rPr lang="en-US" sz="1100" b="0" i="1">
                                    <a:solidFill>
                                      <a:schemeClr val="tx1"/>
                                    </a:solidFill>
                                    <a:effectLst/>
                                    <a:latin typeface="Cambria Math"/>
                                    <a:ea typeface="+mn-ea"/>
                                    <a:cs typeface="+mn-cs"/>
                                  </a:rPr>
                                  <m:t>𝑖</m:t>
                                </m:r>
                              </m:sub>
                            </m:sSub>
                          </m:e>
                          <m:sup>
                            <m:r>
                              <a:rPr lang="en-US" sz="1100" b="0" i="1">
                                <a:solidFill>
                                  <a:schemeClr val="tx1"/>
                                </a:solidFill>
                                <a:effectLst/>
                                <a:latin typeface="Cambria Math"/>
                                <a:ea typeface="+mn-ea"/>
                                <a:cs typeface="+mn-cs"/>
                              </a:rPr>
                              <m:t>2</m:t>
                            </m:r>
                          </m:sup>
                        </m:sSup>
                      </m:den>
                    </m:f>
                    <m:r>
                      <a:rPr lang="en-US" sz="1100" b="0" i="1">
                        <a:latin typeface="Cambria Math"/>
                        <a:ea typeface="+mn-ea"/>
                      </a:rPr>
                      <m:t> </m:t>
                    </m:r>
                    <m:r>
                      <a:rPr lang="en-US" sz="1100" b="0" i="1">
                        <a:latin typeface="Cambria Math"/>
                        <a:ea typeface="Cambria Math"/>
                      </a:rPr>
                      <m:t>=</m:t>
                    </m:r>
                  </m:oMath>
                </m:oMathPara>
              </a14:m>
              <a:endParaRPr lang="en-US" sz="1100"/>
            </a:p>
          </xdr:txBody>
        </xdr:sp>
      </mc:Choice>
      <mc:Fallback xmlns="">
        <xdr:sp macro="" textlink="">
          <xdr:nvSpPr>
            <xdr:cNvPr id="7" name="TextBox 6"/>
            <xdr:cNvSpPr txBox="1"/>
          </xdr:nvSpPr>
          <xdr:spPr>
            <a:xfrm>
              <a:off x="1071562" y="43434000"/>
              <a:ext cx="1404938" cy="44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 </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_𝐿𝑖</a:t>
              </a:r>
              <a:r>
                <a:rPr lang="en-US" sz="1100" b="0" i="0">
                  <a:latin typeface="Cambria Math"/>
                  <a:ea typeface="+mn-ea"/>
                </a:rPr>
                <a:t>=</a:t>
              </a:r>
              <a:r>
                <a:rPr lang="en-US" sz="1100" b="0" i="0">
                  <a:latin typeface="Cambria Math"/>
                  <a:ea typeface="Cambria Math"/>
                </a:rPr>
                <a:t>𝜎</a:t>
              </a:r>
              <a:r>
                <a:rPr lang="en-US" sz="1100" b="0" i="0">
                  <a:latin typeface="Cambria Math"/>
                  <a:ea typeface="+mn-ea"/>
                </a:rPr>
                <a:t>_</a:t>
              </a:r>
              <a:r>
                <a:rPr lang="en-US" sz="1100" b="0" i="0">
                  <a:latin typeface="Cambria Math"/>
                  <a:ea typeface="Cambria Math"/>
                </a:rPr>
                <a:t>𝐿</a:t>
              </a:r>
              <a:r>
                <a:rPr lang="en-US" sz="1100" b="0" i="0">
                  <a:latin typeface="Cambria Math"/>
                  <a:ea typeface="+mn-ea"/>
                </a:rPr>
                <a:t>/(4.8</a:t>
              </a:r>
              <a:r>
                <a:rPr lang="en-US" sz="1100" b="0" i="0">
                  <a:solidFill>
                    <a:schemeClr val="tx1"/>
                  </a:solidFill>
                  <a:effectLst/>
                  <a:latin typeface="Cambria Math"/>
                  <a:ea typeface="+mn-ea"/>
                  <a:cs typeface="+mn-cs"/>
                </a:rPr>
                <a:t>𝐺_𝑚𝑖𝑛 〖𝑆_𝑖〗^2 ) </a:t>
              </a:r>
              <a:r>
                <a:rPr lang="en-US" sz="1100" b="0" i="0">
                  <a:latin typeface="Cambria Math"/>
                  <a:ea typeface="+mn-ea"/>
                </a:rPr>
                <a:t> </a:t>
              </a:r>
              <a:r>
                <a:rPr lang="en-US" sz="1100" b="0" i="0">
                  <a:latin typeface="Cambria Math"/>
                  <a:ea typeface="Cambria Math"/>
                </a:rPr>
                <a:t>=</a:t>
              </a:r>
              <a:endParaRPr lang="en-US" sz="1100"/>
            </a:p>
          </xdr:txBody>
        </xdr:sp>
      </mc:Fallback>
    </mc:AlternateContent>
    <xdr:clientData/>
  </xdr:oneCellAnchor>
  <xdr:oneCellAnchor>
    <xdr:from>
      <xdr:col>2</xdr:col>
      <xdr:colOff>185737</xdr:colOff>
      <xdr:row>282</xdr:row>
      <xdr:rowOff>104775</xdr:rowOff>
    </xdr:from>
    <xdr:ext cx="623888" cy="26456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195387" y="28051125"/>
              <a:ext cx="623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𝑑𝑖</m:t>
                        </m:r>
                      </m:sub>
                    </m:sSub>
                    <m:r>
                      <a:rPr lang="en-US" sz="1100" b="0" i="0">
                        <a:latin typeface="Cambria Math"/>
                        <a:ea typeface="Cambria Math"/>
                      </a:rPr>
                      <m:t>=</m:t>
                    </m:r>
                  </m:oMath>
                </m:oMathPara>
              </a14:m>
              <a:endParaRPr lang="en-US" sz="1100"/>
            </a:p>
          </xdr:txBody>
        </xdr:sp>
      </mc:Choice>
      <mc:Fallback xmlns="">
        <xdr:sp macro="" textlink="">
          <xdr:nvSpPr>
            <xdr:cNvPr id="10" name="TextBox 9">
              <a:extLst>
                <a:ext uri="{FF2B5EF4-FFF2-40B4-BE49-F238E27FC236}">
                  <a16:creationId xmlns:a16="http://schemas.microsoft.com/office/drawing/2014/main" xmlns:a14="http://schemas.microsoft.com/office/drawing/2010/main" xmlns="" id="{00000000-0008-0000-0300-00000A000000}"/>
                </a:ext>
              </a:extLst>
            </xdr:cNvPr>
            <xdr:cNvSpPr txBox="1"/>
          </xdr:nvSpPr>
          <xdr:spPr>
            <a:xfrm>
              <a:off x="1195387" y="28051125"/>
              <a:ext cx="623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𝜀_𝑑𝑖=</a:t>
              </a:r>
              <a:endParaRPr lang="en-US" sz="1100"/>
            </a:p>
          </xdr:txBody>
        </xdr:sp>
      </mc:Fallback>
    </mc:AlternateContent>
    <xdr:clientData/>
  </xdr:oneCellAnchor>
  <xdr:oneCellAnchor>
    <xdr:from>
      <xdr:col>2</xdr:col>
      <xdr:colOff>52387</xdr:colOff>
      <xdr:row>284</xdr:row>
      <xdr:rowOff>57150</xdr:rowOff>
    </xdr:from>
    <xdr:ext cx="1404938" cy="409664"/>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1062037" y="41681400"/>
              <a:ext cx="1404938"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Cambria Math"/>
                            <a:cs typeface="+mn-cs"/>
                          </a:rPr>
                          <m:t>𝑑𝑖</m:t>
                        </m:r>
                      </m:sub>
                    </m:sSub>
                    <m:r>
                      <a:rPr lang="en-US" sz="1100" b="0" i="0">
                        <a:latin typeface="Cambria Math"/>
                        <a:ea typeface="+mn-ea"/>
                      </a:rPr>
                      <m:t>=</m:t>
                    </m:r>
                    <m:f>
                      <m:fPr>
                        <m:ctrlPr>
                          <a:rPr lang="en-US" sz="1100" b="0" i="1">
                            <a:latin typeface="Cambria Math" panose="02040503050406030204" pitchFamily="18" charset="0"/>
                            <a:ea typeface="+mn-ea"/>
                          </a:rPr>
                        </m:ctrlPr>
                      </m:fPr>
                      <m:num>
                        <m:sSub>
                          <m:sSubPr>
                            <m:ctrlPr>
                              <a:rPr lang="en-US" sz="1100" b="0" i="1">
                                <a:latin typeface="Cambria Math" panose="02040503050406030204" pitchFamily="18" charset="0"/>
                                <a:ea typeface="+mn-ea"/>
                              </a:rPr>
                            </m:ctrlPr>
                          </m:sSubPr>
                          <m:e>
                            <m:r>
                              <a:rPr lang="en-US" sz="1100" b="0" i="1">
                                <a:latin typeface="Cambria Math"/>
                                <a:ea typeface="Cambria Math"/>
                              </a:rPr>
                              <m:t>𝜎</m:t>
                            </m:r>
                          </m:e>
                          <m:sub>
                            <m:r>
                              <a:rPr lang="en-US" sz="1100" b="0" i="1">
                                <a:latin typeface="Cambria Math"/>
                                <a:ea typeface="Cambria Math"/>
                              </a:rPr>
                              <m:t>𝑑</m:t>
                            </m:r>
                          </m:sub>
                        </m:sSub>
                      </m:num>
                      <m:den>
                        <m:r>
                          <a:rPr lang="en-US" sz="1100" b="0" i="1">
                            <a:latin typeface="Cambria Math"/>
                            <a:ea typeface="+mn-ea"/>
                          </a:rPr>
                          <m:t>4.8</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p>
                          <m:sSupPr>
                            <m:ctrlPr>
                              <a:rPr lang="en-US" sz="1100" b="0" i="1">
                                <a:latin typeface="Cambria Math" panose="02040503050406030204" pitchFamily="18" charset="0"/>
                                <a:ea typeface="+mn-ea"/>
                              </a:rPr>
                            </m:ctrlPr>
                          </m:sSupPr>
                          <m:e>
                            <m:r>
                              <a:rPr lang="en-US" sz="1100" b="0" i="1">
                                <a:latin typeface="Cambria Math"/>
                                <a:ea typeface="+mn-ea"/>
                              </a:rPr>
                              <m:t>𝑆</m:t>
                            </m:r>
                          </m:e>
                          <m:sup>
                            <m:r>
                              <a:rPr lang="en-US" sz="1100" b="0" i="1">
                                <a:latin typeface="Cambria Math"/>
                                <a:ea typeface="+mn-ea"/>
                              </a:rPr>
                              <m:t>2</m:t>
                            </m:r>
                          </m:sup>
                        </m:sSup>
                      </m:den>
                    </m:f>
                    <m:r>
                      <a:rPr lang="en-US" sz="1100" b="0" i="1">
                        <a:latin typeface="Cambria Math"/>
                        <a:ea typeface="+mn-ea"/>
                      </a:rPr>
                      <m:t>=</m:t>
                    </m:r>
                  </m:oMath>
                </m:oMathPara>
              </a14:m>
              <a:endParaRPr lang="en-US" sz="1100"/>
            </a:p>
          </xdr:txBody>
        </xdr:sp>
      </mc:Choice>
      <mc:Fallback xmlns="">
        <xdr:sp macro="" textlink="">
          <xdr:nvSpPr>
            <xdr:cNvPr id="11" name="TextBox 10"/>
            <xdr:cNvSpPr txBox="1"/>
          </xdr:nvSpPr>
          <xdr:spPr>
            <a:xfrm>
              <a:off x="1062037" y="41681400"/>
              <a:ext cx="1404938"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 </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a:t>
              </a:r>
              <a:r>
                <a:rPr lang="en-US" sz="1100" b="0" i="0">
                  <a:solidFill>
                    <a:schemeClr val="tx1"/>
                  </a:solidFill>
                  <a:effectLst/>
                  <a:latin typeface="Cambria Math"/>
                  <a:ea typeface="Cambria Math"/>
                  <a:cs typeface="+mn-cs"/>
                </a:rPr>
                <a:t>𝑑𝑖</a:t>
              </a:r>
              <a:r>
                <a:rPr lang="en-US" sz="1100" b="0" i="0">
                  <a:latin typeface="Cambria Math"/>
                  <a:ea typeface="+mn-ea"/>
                </a:rPr>
                <a:t>=</a:t>
              </a:r>
              <a:r>
                <a:rPr lang="en-US" sz="1100" b="0" i="0">
                  <a:latin typeface="Cambria Math"/>
                  <a:ea typeface="Cambria Math"/>
                </a:rPr>
                <a:t>𝜎</a:t>
              </a:r>
              <a:r>
                <a:rPr lang="en-US" sz="1100" b="0" i="0">
                  <a:latin typeface="Cambria Math"/>
                  <a:ea typeface="+mn-ea"/>
                </a:rPr>
                <a:t>_</a:t>
              </a:r>
              <a:r>
                <a:rPr lang="en-US" sz="1100" b="0" i="0">
                  <a:latin typeface="Cambria Math"/>
                  <a:ea typeface="Cambria Math"/>
                </a:rPr>
                <a:t>𝑑</a:t>
              </a:r>
              <a:r>
                <a:rPr lang="en-US" sz="1100" b="0" i="0">
                  <a:latin typeface="Cambria Math"/>
                  <a:ea typeface="+mn-ea"/>
                </a:rPr>
                <a:t>/(4.8</a:t>
              </a:r>
              <a:r>
                <a:rPr lang="en-US" sz="1100" b="0" i="0">
                  <a:solidFill>
                    <a:schemeClr val="tx1"/>
                  </a:solidFill>
                  <a:effectLst/>
                  <a:latin typeface="Cambria Math"/>
                  <a:ea typeface="+mn-ea"/>
                  <a:cs typeface="+mn-cs"/>
                </a:rPr>
                <a:t>𝐺_𝑚𝑖𝑛 </a:t>
              </a:r>
              <a:r>
                <a:rPr lang="en-US" sz="1100" b="0" i="0">
                  <a:latin typeface="Cambria Math"/>
                  <a:ea typeface="+mn-ea"/>
                </a:rPr>
                <a:t>𝑆^2 )=</a:t>
              </a:r>
              <a:endParaRPr lang="en-US" sz="1100"/>
            </a:p>
          </xdr:txBody>
        </xdr:sp>
      </mc:Fallback>
    </mc:AlternateContent>
    <xdr:clientData/>
  </xdr:oneCellAnchor>
  <xdr:oneCellAnchor>
    <xdr:from>
      <xdr:col>0</xdr:col>
      <xdr:colOff>495299</xdr:colOff>
      <xdr:row>132</xdr:row>
      <xdr:rowOff>104775</xdr:rowOff>
    </xdr:from>
    <xdr:ext cx="1724025" cy="26456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495299" y="16697325"/>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𝑇</m:t>
                      </m:r>
                    </m:sub>
                  </m:sSub>
                  <m:r>
                    <a:rPr lang="en-US" sz="1100" b="0" i="1">
                      <a:latin typeface="Cambria Math"/>
                    </a:rPr>
                    <m:t>=</m:t>
                  </m:r>
                  <m:r>
                    <a:rPr lang="en-US" sz="1100" b="0" i="1">
                      <a:latin typeface="Cambria Math"/>
                      <a:ea typeface="Cambria Math"/>
                    </a:rPr>
                    <m:t>𝛼</m:t>
                  </m:r>
                  <m:r>
                    <a:rPr lang="en-US" sz="1100" b="0" i="1">
                      <a:latin typeface="Cambria Math"/>
                      <a:ea typeface="Cambria Math"/>
                    </a:rPr>
                    <m:t>𝐿</m:t>
                  </m:r>
                  <m:d>
                    <m:dPr>
                      <m:ctrlPr>
                        <a:rPr lang="en-US" sz="1100" b="0" i="1">
                          <a:latin typeface="Cambria Math" panose="02040503050406030204" pitchFamily="18" charset="0"/>
                          <a:ea typeface="Cambria Math"/>
                        </a:rPr>
                      </m:ctrlPr>
                    </m:dPr>
                    <m:e>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𝑚𝑎𝑥</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𝑚𝑖𝑛</m:t>
                          </m:r>
                        </m:sub>
                      </m:sSub>
                    </m:e>
                  </m:d>
                  <m:r>
                    <a:rPr lang="en-US" sz="1100" b="0" i="1">
                      <a:latin typeface="Cambria Math"/>
                      <a:ea typeface="Cambria Math"/>
                    </a:rPr>
                    <m:t>=</m:t>
                  </m:r>
                </m:oMath>
              </a14:m>
              <a:r>
                <a:rPr lang="en-US" sz="1100"/>
                <a:t>  </a:t>
              </a:r>
            </a:p>
          </xdr:txBody>
        </xdr:sp>
      </mc:Choice>
      <mc:Fallback xmlns="">
        <xdr:sp macro="" textlink="">
          <xdr:nvSpPr>
            <xdr:cNvPr id="14" name="TextBox 13"/>
            <xdr:cNvSpPr txBox="1"/>
          </xdr:nvSpPr>
          <xdr:spPr>
            <a:xfrm>
              <a:off x="495299" y="16697325"/>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∆_</a:t>
              </a:r>
              <a:r>
                <a:rPr lang="en-US" sz="1100" b="0" i="0">
                  <a:latin typeface="Cambria Math"/>
                </a:rPr>
                <a:t>𝑇=</a:t>
              </a:r>
              <a:r>
                <a:rPr lang="en-US" sz="1100" b="0" i="0">
                  <a:latin typeface="Cambria Math"/>
                  <a:ea typeface="Cambria Math"/>
                </a:rPr>
                <a:t>𝛼𝐿(𝑇_𝑚𝑎𝑥−𝑇_𝑚𝑖𝑛 )=</a:t>
              </a:r>
              <a:r>
                <a:rPr lang="en-US" sz="1100"/>
                <a:t>  </a:t>
              </a:r>
            </a:p>
          </xdr:txBody>
        </xdr:sp>
      </mc:Fallback>
    </mc:AlternateContent>
    <xdr:clientData/>
  </xdr:oneCellAnchor>
  <xdr:oneCellAnchor>
    <xdr:from>
      <xdr:col>0</xdr:col>
      <xdr:colOff>409573</xdr:colOff>
      <xdr:row>147</xdr:row>
      <xdr:rowOff>19050</xdr:rowOff>
    </xdr:from>
    <xdr:ext cx="4229102" cy="502253"/>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409573" y="24555450"/>
              <a:ext cx="4229102" cy="5022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𝑜</m:t>
                        </m:r>
                      </m:sub>
                    </m:sSub>
                    <m:r>
                      <a:rPr lang="en-US" sz="1100" i="1">
                        <a:latin typeface="Cambria Math"/>
                        <a:ea typeface="Cambria Math"/>
                      </a:rPr>
                      <m:t>=</m:t>
                    </m:r>
                    <m:sSub>
                      <m:sSubPr>
                        <m:ctrlPr>
                          <a:rPr lang="en-US" sz="1100" i="1">
                            <a:latin typeface="Cambria Math" panose="02040503050406030204" pitchFamily="18" charset="0"/>
                            <a:ea typeface="Cambria Math"/>
                          </a:rPr>
                        </m:ctrlPr>
                      </m:sSubPr>
                      <m:e>
                        <m:r>
                          <a:rPr lang="en-US" sz="1100" i="1">
                            <a:latin typeface="Cambria Math"/>
                            <a:ea typeface="Cambria Math"/>
                          </a:rPr>
                          <m:t>∆</m:t>
                        </m:r>
                      </m:e>
                      <m:sub>
                        <m:r>
                          <a:rPr lang="en-US" sz="1100" b="0" i="1">
                            <a:latin typeface="Cambria Math"/>
                            <a:ea typeface="Cambria Math"/>
                          </a:rPr>
                          <m:t>𝑠</m:t>
                        </m:r>
                      </m:sub>
                    </m:sSub>
                    <m:r>
                      <a:rPr lang="en-US" sz="1100" i="1">
                        <a:latin typeface="Cambria Math"/>
                        <a:ea typeface="Cambria Math"/>
                      </a:rPr>
                      <m:t>=</m:t>
                    </m:r>
                    <m:nary>
                      <m:naryPr>
                        <m:chr m:val="∑"/>
                        <m:subHide m:val="on"/>
                        <m:supHide m:val="on"/>
                        <m:ctrlPr>
                          <a:rPr lang="en-US" sz="1100" i="1">
                            <a:latin typeface="Cambria Math" panose="02040503050406030204" pitchFamily="18" charset="0"/>
                            <a:ea typeface="Cambria Math"/>
                          </a:rPr>
                        </m:ctrlPr>
                      </m:naryPr>
                      <m:sub/>
                      <m:sup/>
                      <m:e>
                        <m:sSub>
                          <m:sSubPr>
                            <m:ctrlPr>
                              <a:rPr lang="en-US" sz="1100" i="1">
                                <a:latin typeface="Cambria Math" panose="02040503050406030204" pitchFamily="18" charset="0"/>
                                <a:ea typeface="Cambria Math"/>
                              </a:rPr>
                            </m:ctrlPr>
                          </m:sSub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Cambria Math"/>
                                    <a:cs typeface="+mn-cs"/>
                                  </a:rPr>
                                  <m:t>𝛼</m:t>
                                </m:r>
                              </m:e>
                              <m:sub>
                                <m:r>
                                  <a:rPr lang="en-US" sz="1100" b="0" i="1">
                                    <a:solidFill>
                                      <a:schemeClr val="tx1"/>
                                    </a:solidFill>
                                    <a:effectLst/>
                                    <a:latin typeface="Cambria Math"/>
                                    <a:ea typeface="+mn-ea"/>
                                    <a:cs typeface="+mn-cs"/>
                                  </a:rPr>
                                  <m:t>𝐴𝐴𝑆𝐻𝑇𝑂</m:t>
                                </m:r>
                              </m:sub>
                            </m:s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i="1">
                                <a:latin typeface="Cambria Math"/>
                                <a:ea typeface="Cambria Math"/>
                              </a:rPr>
                              <m:t>∆</m:t>
                            </m:r>
                          </m:e>
                          <m:sub>
                            <m:r>
                              <a:rPr lang="en-US" sz="1100" b="0" i="1">
                                <a:latin typeface="Cambria Math"/>
                                <a:ea typeface="Cambria Math"/>
                              </a:rPr>
                              <m:t>𝑇</m:t>
                            </m:r>
                          </m:sub>
                        </m:sSub>
                        <m:r>
                          <a:rPr lang="en-US" sz="1100" b="0" i="1">
                            <a:latin typeface="Cambria Math"/>
                            <a:ea typeface="Cambria Math"/>
                          </a:rPr>
                          <m:t>+</m:t>
                        </m:r>
                      </m:e>
                    </m:nary>
                    <m:sSub>
                      <m:sSubPr>
                        <m:ctrlPr>
                          <a:rPr lang="en-US" sz="1100" i="1">
                            <a:latin typeface="Cambria Math" panose="02040503050406030204" pitchFamily="18" charset="0"/>
                            <a:ea typeface="Cambria Math"/>
                          </a:rPr>
                        </m:ctrlPr>
                      </m:sSubPr>
                      <m:e>
                        <m:r>
                          <a:rPr lang="en-US" sz="1100" i="1">
                            <a:latin typeface="Cambria Math"/>
                            <a:ea typeface="Cambria Math"/>
                          </a:rPr>
                          <m:t>∆</m:t>
                        </m:r>
                      </m:e>
                      <m:sub>
                        <m:r>
                          <a:rPr lang="en-US" sz="1100" b="0" i="1">
                            <a:latin typeface="Cambria Math"/>
                            <a:ea typeface="Cambria Math"/>
                          </a:rPr>
                          <m:t>𝐶𝑅</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𝑆𝐻</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𝐸𝐿</m:t>
                        </m:r>
                      </m:sub>
                    </m:sSub>
                    <m:r>
                      <a:rPr lang="en-US" sz="1100" b="0" i="1">
                        <a:latin typeface="Cambria Math"/>
                        <a:ea typeface="Cambria Math"/>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𝐿𝐿</m:t>
                        </m:r>
                        <m:r>
                          <a:rPr lang="en-US" sz="1100" b="0" i="1">
                            <a:solidFill>
                              <a:schemeClr val="tx1"/>
                            </a:solidFill>
                            <a:effectLst/>
                            <a:latin typeface="Cambria Math"/>
                            <a:ea typeface="+mn-ea"/>
                            <a:cs typeface="+mn-cs"/>
                          </a:rPr>
                          <m:t> </m:t>
                        </m:r>
                      </m:sub>
                    </m:sSub>
                    <m:r>
                      <a:rPr lang="en-US" sz="1100" b="0" i="1">
                        <a:solidFill>
                          <a:schemeClr val="tx1"/>
                        </a:solidFill>
                        <a:effectLst/>
                        <a:latin typeface="Cambria Math"/>
                        <a:ea typeface="+mn-ea"/>
                        <a:cs typeface="+mn-cs"/>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𝑀𝐼𝑆𝐶</m:t>
                        </m:r>
                        <m:r>
                          <a:rPr lang="en-US" sz="1100" b="0" i="1">
                            <a:latin typeface="Cambria Math"/>
                            <a:ea typeface="Cambria Math"/>
                          </a:rPr>
                          <m:t> </m:t>
                        </m:r>
                      </m:sub>
                    </m:sSub>
                    <m:r>
                      <a:rPr lang="en-US" sz="1100" b="0" i="1">
                        <a:latin typeface="Cambria Math"/>
                        <a:ea typeface="Cambria Math"/>
                      </a:rPr>
                      <m:t> =</m:t>
                    </m:r>
                  </m:oMath>
                </m:oMathPara>
              </a14:m>
              <a:endParaRPr lang="en-US" sz="1100"/>
            </a:p>
          </xdr:txBody>
        </xdr:sp>
      </mc:Choice>
      <mc:Fallback xmlns="">
        <xdr:sp macro="" textlink="">
          <xdr:nvSpPr>
            <xdr:cNvPr id="15" name="TextBox 14"/>
            <xdr:cNvSpPr txBox="1"/>
          </xdr:nvSpPr>
          <xdr:spPr>
            <a:xfrm>
              <a:off x="409573" y="24555450"/>
              <a:ext cx="4229102" cy="5022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ea typeface="Cambria Math"/>
                </a:rPr>
                <a:t>𝑜</a:t>
              </a:r>
              <a:r>
                <a:rPr lang="en-US" sz="1100" i="0">
                  <a:latin typeface="Cambria Math"/>
                  <a:ea typeface="Cambria Math"/>
                </a:rPr>
                <a:t>=∆_</a:t>
              </a:r>
              <a:r>
                <a:rPr lang="en-US" sz="1100" b="0" i="0">
                  <a:latin typeface="Cambria Math"/>
                  <a:ea typeface="Cambria Math"/>
                </a:rPr>
                <a:t>𝑠</a:t>
              </a:r>
              <a:r>
                <a:rPr lang="en-US" sz="1100" i="0">
                  <a:latin typeface="Cambria Math"/>
                  <a:ea typeface="Cambria Math"/>
                </a:rPr>
                <a:t>=∑</a:t>
              </a:r>
              <a:r>
                <a:rPr lang="en-US" sz="1100" b="0" i="0">
                  <a:latin typeface="Cambria Math"/>
                  <a:ea typeface="Cambria Math"/>
                </a:rPr>
                <a:t>▒〖〖</a:t>
              </a:r>
              <a:r>
                <a:rPr lang="en-US" sz="1100" i="0">
                  <a:solidFill>
                    <a:schemeClr val="tx1"/>
                  </a:solidFill>
                  <a:effectLst/>
                  <a:latin typeface="Cambria Math"/>
                  <a:ea typeface="Cambria Math"/>
                  <a:cs typeface="+mn-cs"/>
                </a:rPr>
                <a:t>𝛼</a:t>
              </a: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𝐴𝐴𝑆𝐻𝑇𝑂 </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i="0">
                  <a:latin typeface="Cambria Math"/>
                  <a:ea typeface="Cambria Math"/>
                </a:rPr>
                <a:t>∆〗_</a:t>
              </a:r>
              <a:r>
                <a:rPr lang="en-US" sz="1100" b="0" i="0">
                  <a:latin typeface="Cambria Math"/>
                  <a:ea typeface="Cambria Math"/>
                </a:rPr>
                <a:t>𝑇+〗 </a:t>
              </a:r>
              <a:r>
                <a:rPr lang="en-US" sz="1100" i="0">
                  <a:latin typeface="Cambria Math"/>
                  <a:ea typeface="Cambria Math"/>
                </a:rPr>
                <a:t>∆_</a:t>
              </a:r>
              <a:r>
                <a:rPr lang="en-US" sz="1100" b="0" i="0">
                  <a:latin typeface="Cambria Math"/>
                  <a:ea typeface="Cambria Math"/>
                </a:rPr>
                <a:t>𝐶𝑅+∆_𝑆𝐻+∆_𝐸𝐿+</a:t>
              </a:r>
              <a:r>
                <a:rPr lang="en-US" sz="1100" b="0" i="0">
                  <a:solidFill>
                    <a:schemeClr val="tx1"/>
                  </a:solidFill>
                  <a:effectLst/>
                  <a:latin typeface="+mn-lt"/>
                  <a:ea typeface="+mn-ea"/>
                  <a:cs typeface="+mn-cs"/>
                </a:rPr>
                <a:t>∆_(</a:t>
              </a:r>
              <a:r>
                <a:rPr lang="en-US" sz="1100" b="0" i="0">
                  <a:solidFill>
                    <a:schemeClr val="tx1"/>
                  </a:solidFill>
                  <a:effectLst/>
                  <a:latin typeface="Cambria Math"/>
                  <a:ea typeface="+mn-ea"/>
                  <a:cs typeface="+mn-cs"/>
                </a:rPr>
                <a:t>𝐿𝐿</a:t>
              </a:r>
              <a:r>
                <a:rPr lang="en-US" sz="1100" b="0" i="0">
                  <a:solidFill>
                    <a:schemeClr val="tx1"/>
                  </a:solidFill>
                  <a:effectLst/>
                  <a:latin typeface="+mn-lt"/>
                  <a:ea typeface="+mn-ea"/>
                  <a:cs typeface="+mn-cs"/>
                </a:rPr>
                <a:t> )</a:t>
              </a:r>
              <a:r>
                <a:rPr lang="en-US" sz="1100" b="0" i="0">
                  <a:solidFill>
                    <a:schemeClr val="tx1"/>
                  </a:solidFill>
                  <a:effectLst/>
                  <a:latin typeface="Cambria Math"/>
                  <a:ea typeface="+mn-ea"/>
                  <a:cs typeface="+mn-cs"/>
                </a:rPr>
                <a:t>+</a:t>
              </a:r>
              <a:r>
                <a:rPr lang="en-US" sz="1100" b="0" i="0">
                  <a:latin typeface="Cambria Math"/>
                  <a:ea typeface="Cambria Math"/>
                </a:rPr>
                <a:t>∆_(𝑀𝐼𝑆𝐶 )  =</a:t>
              </a:r>
              <a:endParaRPr lang="en-US" sz="1100"/>
            </a:p>
          </xdr:txBody>
        </xdr:sp>
      </mc:Fallback>
    </mc:AlternateContent>
    <xdr:clientData/>
  </xdr:oneCellAnchor>
  <xdr:oneCellAnchor>
    <xdr:from>
      <xdr:col>1</xdr:col>
      <xdr:colOff>285750</xdr:colOff>
      <xdr:row>375</xdr:row>
      <xdr:rowOff>123825</xdr:rowOff>
    </xdr:from>
    <xdr:ext cx="914400" cy="26456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790575" y="438912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2</m:t>
                    </m:r>
                    <m:r>
                      <a:rPr lang="en-US" sz="1100" b="0" i="1">
                        <a:latin typeface="Cambria Math"/>
                      </a:rPr>
                      <m:t>𝐴</m:t>
                    </m:r>
                    <m:r>
                      <a:rPr lang="en-US" sz="1100" b="0" i="1">
                        <a:latin typeface="Cambria Math"/>
                      </a:rPr>
                      <m:t> ≤</m:t>
                    </m:r>
                    <m:r>
                      <a:rPr lang="en-US" sz="1100" b="0" i="1">
                        <a:latin typeface="Cambria Math"/>
                        <a:ea typeface="Cambria Math"/>
                      </a:rPr>
                      <m:t>𝐵</m:t>
                    </m:r>
                  </m:oMath>
                </m:oMathPara>
              </a14:m>
              <a:endParaRPr lang="en-US" sz="1100"/>
            </a:p>
          </xdr:txBody>
        </xdr:sp>
      </mc:Choice>
      <mc:Fallback xmlns="">
        <xdr:sp macro="" textlink="">
          <xdr:nvSpPr>
            <xdr:cNvPr id="16" name="TextBox 15"/>
            <xdr:cNvSpPr txBox="1"/>
          </xdr:nvSpPr>
          <xdr:spPr>
            <a:xfrm>
              <a:off x="790575" y="438912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2𝐴 ≤</a:t>
              </a:r>
              <a:r>
                <a:rPr lang="en-US" sz="1100" b="0" i="0">
                  <a:latin typeface="Cambria Math"/>
                  <a:ea typeface="Cambria Math"/>
                </a:rPr>
                <a:t>𝐵</a:t>
              </a:r>
              <a:endParaRPr lang="en-US" sz="1100"/>
            </a:p>
          </xdr:txBody>
        </xdr:sp>
      </mc:Fallback>
    </mc:AlternateContent>
    <xdr:clientData/>
  </xdr:oneCellAnchor>
  <xdr:oneCellAnchor>
    <xdr:from>
      <xdr:col>1</xdr:col>
      <xdr:colOff>219075</xdr:colOff>
      <xdr:row>378</xdr:row>
      <xdr:rowOff>142875</xdr:rowOff>
    </xdr:from>
    <xdr:ext cx="1314450" cy="73481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723900" y="44396025"/>
              <a:ext cx="1314450" cy="734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𝐴</m:t>
                    </m:r>
                    <m:r>
                      <a:rPr lang="en-US" sz="1100" b="0" i="1">
                        <a:latin typeface="Cambria Math"/>
                      </a:rPr>
                      <m:t>=</m:t>
                    </m:r>
                    <m:f>
                      <m:fPr>
                        <m:ctrlPr>
                          <a:rPr lang="en-US" sz="1100" i="1">
                            <a:latin typeface="Cambria Math" panose="02040503050406030204" pitchFamily="18" charset="0"/>
                          </a:rPr>
                        </m:ctrlPr>
                      </m:fPr>
                      <m:num>
                        <m:r>
                          <a:rPr lang="en-US" sz="1100" b="0" i="1">
                            <a:latin typeface="Cambria Math"/>
                          </a:rPr>
                          <m:t>1.92</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num>
                          <m:den>
                            <m:r>
                              <a:rPr lang="en-US" sz="1100" b="0" i="1">
                                <a:latin typeface="Cambria Math"/>
                              </a:rPr>
                              <m:t>𝐿</m:t>
                            </m:r>
                          </m:den>
                        </m:f>
                      </m:num>
                      <m:den>
                        <m:rad>
                          <m:radPr>
                            <m:degHide m:val="on"/>
                            <m:ctrlPr>
                              <a:rPr lang="en-US" sz="1100" i="1">
                                <a:latin typeface="Cambria Math" panose="02040503050406030204" pitchFamily="18" charset="0"/>
                              </a:rPr>
                            </m:ctrlPr>
                          </m:radPr>
                          <m:deg/>
                          <m:e>
                            <m:r>
                              <a:rPr lang="en-US" sz="1100" b="0" i="1">
                                <a:latin typeface="Cambria Math"/>
                              </a:rPr>
                              <m:t>1+</m:t>
                            </m:r>
                            <m:f>
                              <m:fPr>
                                <m:ctrlPr>
                                  <a:rPr lang="en-US" sz="1100" b="0" i="1">
                                    <a:latin typeface="Cambria Math" panose="02040503050406030204" pitchFamily="18" charset="0"/>
                                  </a:rPr>
                                </m:ctrlPr>
                              </m:fPr>
                              <m:num>
                                <m:r>
                                  <a:rPr lang="en-US" sz="1100" b="0" i="1">
                                    <a:latin typeface="Cambria Math"/>
                                  </a:rPr>
                                  <m:t>2.0</m:t>
                                </m:r>
                                <m:r>
                                  <a:rPr lang="en-US" sz="1100" b="0" i="1">
                                    <a:latin typeface="Cambria Math"/>
                                  </a:rPr>
                                  <m:t>𝐿</m:t>
                                </m:r>
                              </m:num>
                              <m:den>
                                <m:r>
                                  <a:rPr lang="en-US" sz="1100" b="0" i="1">
                                    <a:latin typeface="Cambria Math"/>
                                  </a:rPr>
                                  <m:t>𝑊</m:t>
                                </m:r>
                              </m:den>
                            </m:f>
                          </m:e>
                        </m:rad>
                      </m:den>
                    </m:f>
                    <m:r>
                      <a:rPr lang="en-US" sz="1100" b="0" i="1">
                        <a:latin typeface="Cambria Math"/>
                      </a:rPr>
                      <m:t>=</m:t>
                    </m:r>
                  </m:oMath>
                </m:oMathPara>
              </a14:m>
              <a:endParaRPr lang="en-US" sz="1100"/>
            </a:p>
          </xdr:txBody>
        </xdr:sp>
      </mc:Choice>
      <mc:Fallback xmlns="">
        <xdr:sp macro="" textlink="">
          <xdr:nvSpPr>
            <xdr:cNvPr id="17" name="TextBox 16">
              <a:extLst>
                <a:ext uri="{FF2B5EF4-FFF2-40B4-BE49-F238E27FC236}">
                  <a16:creationId xmlns:a16="http://schemas.microsoft.com/office/drawing/2014/main" xmlns:a14="http://schemas.microsoft.com/office/drawing/2010/main" xmlns="" id="{00000000-0008-0000-0300-000011000000}"/>
                </a:ext>
              </a:extLst>
            </xdr:cNvPr>
            <xdr:cNvSpPr txBox="1"/>
          </xdr:nvSpPr>
          <xdr:spPr>
            <a:xfrm>
              <a:off x="723900" y="44396025"/>
              <a:ext cx="1314450" cy="734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a:t>
              </a:r>
              <a:r>
                <a:rPr lang="en-US" sz="1100" i="0">
                  <a:latin typeface="Cambria Math"/>
                </a:rPr>
                <a:t>(</a:t>
              </a:r>
              <a:r>
                <a:rPr lang="en-US" sz="1100" b="0" i="0">
                  <a:latin typeface="Cambria Math"/>
                </a:rPr>
                <a:t>1.92 ℎ_𝑟𝑡/𝐿)/√(1+2.0𝐿/𝑊)=</a:t>
              </a:r>
              <a:endParaRPr lang="en-US" sz="1100"/>
            </a:p>
          </xdr:txBody>
        </xdr:sp>
      </mc:Fallback>
    </mc:AlternateContent>
    <xdr:clientData/>
  </xdr:oneCellAnchor>
  <xdr:oneCellAnchor>
    <xdr:from>
      <xdr:col>1</xdr:col>
      <xdr:colOff>209549</xdr:colOff>
      <xdr:row>383</xdr:row>
      <xdr:rowOff>104775</xdr:rowOff>
    </xdr:from>
    <xdr:ext cx="1990725" cy="545790"/>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714374" y="45167550"/>
              <a:ext cx="1990725" cy="545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𝐵</m:t>
                    </m:r>
                    <m:r>
                      <a:rPr lang="en-US" sz="1100" b="0" i="1">
                        <a:latin typeface="Cambria Math"/>
                        <a:ea typeface="Cambria Math"/>
                      </a:rPr>
                      <m:t>=</m:t>
                    </m:r>
                    <m:f>
                      <m:fPr>
                        <m:ctrlPr>
                          <a:rPr lang="en-US" sz="1100" b="0" i="1">
                            <a:latin typeface="Cambria Math" panose="02040503050406030204" pitchFamily="18" charset="0"/>
                            <a:ea typeface="Cambria Math"/>
                          </a:rPr>
                        </m:ctrlPr>
                      </m:fPr>
                      <m:num>
                        <m:r>
                          <a:rPr lang="en-US" sz="1100" b="0" i="1">
                            <a:latin typeface="Cambria Math"/>
                            <a:ea typeface="Cambria Math"/>
                          </a:rPr>
                          <m:t>2.67</m:t>
                        </m:r>
                      </m:num>
                      <m:den>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r>
                          <a:rPr lang="en-US" sz="1100" b="0" i="1">
                            <a:latin typeface="Cambria Math"/>
                            <a:ea typeface="Cambria Math"/>
                          </a:rPr>
                          <m:t>+2.0)(1+</m:t>
                        </m:r>
                        <m:f>
                          <m:fPr>
                            <m:ctrlPr>
                              <a:rPr lang="en-US" sz="1100" b="0" i="1">
                                <a:latin typeface="Cambria Math" panose="02040503050406030204" pitchFamily="18" charset="0"/>
                                <a:ea typeface="Cambria Math"/>
                              </a:rPr>
                            </m:ctrlPr>
                          </m:fPr>
                          <m:num>
                            <m:r>
                              <a:rPr lang="en-US" sz="1100" b="0" i="1">
                                <a:latin typeface="Cambria Math"/>
                                <a:ea typeface="Cambria Math"/>
                              </a:rPr>
                              <m:t>𝐿</m:t>
                            </m:r>
                          </m:num>
                          <m:den>
                            <m:r>
                              <a:rPr lang="en-US" sz="1100" b="0" i="1">
                                <a:latin typeface="Cambria Math"/>
                                <a:ea typeface="Cambria Math"/>
                              </a:rPr>
                              <m:t>4.0</m:t>
                            </m:r>
                            <m:r>
                              <a:rPr lang="en-US" sz="1100" b="0" i="1">
                                <a:latin typeface="Cambria Math"/>
                                <a:ea typeface="Cambria Math"/>
                              </a:rPr>
                              <m:t>𝑊</m:t>
                            </m:r>
                          </m:den>
                        </m:f>
                        <m:r>
                          <a:rPr lang="en-US" sz="1100" b="0" i="1">
                            <a:latin typeface="Cambria Math"/>
                            <a:ea typeface="Cambria Math"/>
                          </a:rPr>
                          <m:t>)</m:t>
                        </m:r>
                      </m:den>
                    </m:f>
                    <m:r>
                      <a:rPr lang="en-US" sz="1100" b="0" i="1">
                        <a:latin typeface="Cambria Math"/>
                        <a:ea typeface="Cambria Math"/>
                      </a:rPr>
                      <m:t> =</m:t>
                    </m:r>
                  </m:oMath>
                </m:oMathPara>
              </a14:m>
              <a:endParaRPr lang="en-US" sz="1100"/>
            </a:p>
          </xdr:txBody>
        </xdr:sp>
      </mc:Choice>
      <mc:Fallback xmlns="">
        <xdr:sp macro="" textlink="">
          <xdr:nvSpPr>
            <xdr:cNvPr id="18" name="TextBox 17"/>
            <xdr:cNvSpPr txBox="1"/>
          </xdr:nvSpPr>
          <xdr:spPr>
            <a:xfrm>
              <a:off x="714374" y="45167550"/>
              <a:ext cx="1990725" cy="545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𝐵</a:t>
              </a:r>
              <a:r>
                <a:rPr lang="en-US" sz="1100" b="0" i="0">
                  <a:latin typeface="Cambria Math"/>
                  <a:ea typeface="Cambria Math"/>
                </a:rPr>
                <a:t>=2.67/((𝑆_𝑖+2.0)(1+𝐿/4.0𝑊))  =</a:t>
              </a:r>
              <a:endParaRPr lang="en-US" sz="1100"/>
            </a:p>
          </xdr:txBody>
        </xdr:sp>
      </mc:Fallback>
    </mc:AlternateContent>
    <xdr:clientData/>
  </xdr:oneCellAnchor>
  <xdr:oneCellAnchor>
    <xdr:from>
      <xdr:col>2</xdr:col>
      <xdr:colOff>38100</xdr:colOff>
      <xdr:row>390</xdr:row>
      <xdr:rowOff>104775</xdr:rowOff>
    </xdr:from>
    <xdr:ext cx="914400" cy="264560"/>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047750" y="46301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2</m:t>
                    </m:r>
                    <m:r>
                      <a:rPr lang="en-US" sz="1100" b="0" i="1">
                        <a:latin typeface="Cambria Math"/>
                      </a:rPr>
                      <m:t>𝐴</m:t>
                    </m:r>
                    <m:r>
                      <a:rPr lang="en-US" sz="1100" b="0" i="1">
                        <a:latin typeface="Cambria Math"/>
                        <a:ea typeface="Cambria Math"/>
                      </a:rPr>
                      <m:t>=</m:t>
                    </m:r>
                  </m:oMath>
                </m:oMathPara>
              </a14:m>
              <a:endParaRPr lang="en-US" sz="1100"/>
            </a:p>
          </xdr:txBody>
        </xdr:sp>
      </mc:Choice>
      <mc:Fallback xmlns="">
        <xdr:sp macro="" textlink="">
          <xdr:nvSpPr>
            <xdr:cNvPr id="19" name="TextBox 18"/>
            <xdr:cNvSpPr txBox="1"/>
          </xdr:nvSpPr>
          <xdr:spPr>
            <a:xfrm>
              <a:off x="1047750" y="46301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2𝐴</a:t>
              </a:r>
              <a:r>
                <a:rPr lang="en-US" sz="1100" b="0" i="0">
                  <a:latin typeface="Cambria Math"/>
                  <a:ea typeface="Cambria Math"/>
                </a:rPr>
                <a:t>=</a:t>
              </a:r>
              <a:endParaRPr lang="en-US" sz="1100"/>
            </a:p>
          </xdr:txBody>
        </xdr:sp>
      </mc:Fallback>
    </mc:AlternateContent>
    <xdr:clientData/>
  </xdr:oneCellAnchor>
  <xdr:oneCellAnchor>
    <xdr:from>
      <xdr:col>0</xdr:col>
      <xdr:colOff>490538</xdr:colOff>
      <xdr:row>397</xdr:row>
      <xdr:rowOff>123825</xdr:rowOff>
    </xdr:from>
    <xdr:ext cx="1376362" cy="424732"/>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490538" y="47291625"/>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num>
                      <m:den>
                        <m:r>
                          <a:rPr lang="en-US" sz="1100" b="0" i="1">
                            <a:latin typeface="Cambria Math"/>
                            <a:ea typeface="Cambria Math"/>
                          </a:rPr>
                          <m:t>2</m:t>
                        </m:r>
                        <m:r>
                          <a:rPr lang="en-US" sz="1100" b="0" i="1">
                            <a:latin typeface="Cambria Math"/>
                            <a:ea typeface="Cambria Math"/>
                          </a:rPr>
                          <m:t>𝐴</m:t>
                        </m:r>
                        <m:r>
                          <a:rPr lang="en-US" sz="1100" b="0" i="1">
                            <a:latin typeface="Cambria Math"/>
                            <a:ea typeface="Cambria Math"/>
                          </a:rPr>
                          <m:t>−</m:t>
                        </m:r>
                        <m:r>
                          <a:rPr lang="en-US" sz="1100" b="0" i="1">
                            <a:latin typeface="Cambria Math"/>
                            <a:ea typeface="Cambria Math"/>
                          </a:rPr>
                          <m:t>𝐵</m:t>
                        </m:r>
                      </m:den>
                    </m:f>
                    <m:r>
                      <a:rPr lang="en-US" sz="1100" b="0" i="1">
                        <a:latin typeface="Cambria Math"/>
                        <a:ea typeface="Cambria Math"/>
                      </a:rPr>
                      <m:t>  =</m:t>
                    </m:r>
                  </m:oMath>
                </m:oMathPara>
              </a14:m>
              <a:endParaRPr lang="en-US" sz="1100"/>
            </a:p>
          </xdr:txBody>
        </xdr:sp>
      </mc:Choice>
      <mc:Fallback xmlns="">
        <xdr:sp macro="" textlink="">
          <xdr:nvSpPr>
            <xdr:cNvPr id="20" name="TextBox 19"/>
            <xdr:cNvSpPr txBox="1"/>
          </xdr:nvSpPr>
          <xdr:spPr>
            <a:xfrm>
              <a:off x="490538" y="47291625"/>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a:t>
              </a:r>
              <a:r>
                <a:rPr lang="en-US" sz="1100" b="0" i="0">
                  <a:solidFill>
                    <a:schemeClr val="tx1"/>
                  </a:solidFill>
                  <a:effectLst/>
                  <a:latin typeface="+mn-lt"/>
                  <a:ea typeface="+mn-ea"/>
                  <a:cs typeface="+mn-cs"/>
                </a:rPr>
                <a:t> </a:t>
              </a:r>
              <a:r>
                <a:rPr lang="en-US" sz="1100" b="0" i="0">
                  <a:solidFill>
                    <a:schemeClr val="tx1"/>
                  </a:solidFill>
                  <a:effectLst/>
                  <a:latin typeface="Cambria Math"/>
                  <a:ea typeface="Cambria Math"/>
                  <a:cs typeface="+mn-cs"/>
                </a:rPr>
                <a:t>(</a:t>
              </a:r>
              <a:r>
                <a:rPr lang="en-US" sz="1100" b="0" i="0">
                  <a:solidFill>
                    <a:schemeClr val="tx1"/>
                  </a:solidFill>
                  <a:effectLst/>
                  <a:latin typeface="+mn-lt"/>
                  <a:ea typeface="+mn-ea"/>
                  <a:cs typeface="+mn-cs"/>
                </a:rPr>
                <a:t>𝐺_𝑚𝑖𝑛</a:t>
              </a:r>
              <a:r>
                <a:rPr lang="en-US" sz="1100" b="0" i="0">
                  <a:solidFill>
                    <a:schemeClr val="tx1"/>
                  </a:solidFill>
                  <a:effectLst/>
                  <a:latin typeface="Cambria Math"/>
                  <a:ea typeface="Cambria Math"/>
                  <a:cs typeface="+mn-cs"/>
                </a:rPr>
                <a:t> </a:t>
              </a:r>
              <a:r>
                <a:rPr lang="en-US" sz="1100" b="0" i="0">
                  <a:latin typeface="Cambria Math"/>
                  <a:ea typeface="Cambria Math"/>
                </a:rPr>
                <a:t>𝑆_𝑖)/(2𝐴−𝐵)   =</a:t>
              </a:r>
              <a:endParaRPr lang="en-US" sz="1100"/>
            </a:p>
          </xdr:txBody>
        </xdr:sp>
      </mc:Fallback>
    </mc:AlternateContent>
    <xdr:clientData/>
  </xdr:oneCellAnchor>
  <xdr:oneCellAnchor>
    <xdr:from>
      <xdr:col>1</xdr:col>
      <xdr:colOff>414338</xdr:colOff>
      <xdr:row>400</xdr:row>
      <xdr:rowOff>95250</xdr:rowOff>
    </xdr:from>
    <xdr:ext cx="976312" cy="264560"/>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919163" y="47910750"/>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21" name="TextBox 20"/>
            <xdr:cNvSpPr txBox="1"/>
          </xdr:nvSpPr>
          <xdr:spPr>
            <a:xfrm>
              <a:off x="919163" y="47910750"/>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a:t>
              </a:r>
              <a:endParaRPr lang="en-US" sz="1100"/>
            </a:p>
          </xdr:txBody>
        </xdr:sp>
      </mc:Fallback>
    </mc:AlternateContent>
    <xdr:clientData/>
  </xdr:oneCellAnchor>
  <xdr:oneCellAnchor>
    <xdr:from>
      <xdr:col>0</xdr:col>
      <xdr:colOff>481013</xdr:colOff>
      <xdr:row>407</xdr:row>
      <xdr:rowOff>123825</xdr:rowOff>
    </xdr:from>
    <xdr:ext cx="1376362" cy="424732"/>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481013" y="48910875"/>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num>
                      <m:den>
                        <m:r>
                          <a:rPr lang="en-US" sz="1100" b="0" i="1">
                            <a:latin typeface="Cambria Math"/>
                            <a:ea typeface="Cambria Math"/>
                          </a:rPr>
                          <m:t>𝐴</m:t>
                        </m:r>
                        <m:r>
                          <a:rPr lang="en-US" sz="1100" b="0" i="1">
                            <a:latin typeface="Cambria Math"/>
                            <a:ea typeface="Cambria Math"/>
                          </a:rPr>
                          <m:t>−</m:t>
                        </m:r>
                        <m:r>
                          <a:rPr lang="en-US" sz="1100" b="0" i="1">
                            <a:latin typeface="Cambria Math"/>
                            <a:ea typeface="Cambria Math"/>
                          </a:rPr>
                          <m:t>𝐵</m:t>
                        </m:r>
                      </m:den>
                    </m:f>
                    <m:r>
                      <a:rPr lang="en-US" sz="1100" b="0" i="1">
                        <a:latin typeface="Cambria Math"/>
                        <a:ea typeface="Cambria Math"/>
                      </a:rPr>
                      <m:t>  =</m:t>
                    </m:r>
                  </m:oMath>
                </m:oMathPara>
              </a14:m>
              <a:endParaRPr lang="en-US" sz="1100"/>
            </a:p>
          </xdr:txBody>
        </xdr:sp>
      </mc:Choice>
      <mc:Fallback xmlns="">
        <xdr:sp macro="" textlink="">
          <xdr:nvSpPr>
            <xdr:cNvPr id="22" name="TextBox 21"/>
            <xdr:cNvSpPr txBox="1"/>
          </xdr:nvSpPr>
          <xdr:spPr>
            <a:xfrm>
              <a:off x="481013" y="48910875"/>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a:t>
              </a:r>
              <a:r>
                <a:rPr lang="en-US" sz="1100" b="0" i="0">
                  <a:solidFill>
                    <a:schemeClr val="tx1"/>
                  </a:solidFill>
                  <a:effectLst/>
                  <a:latin typeface="+mn-lt"/>
                  <a:ea typeface="+mn-ea"/>
                  <a:cs typeface="+mn-cs"/>
                </a:rPr>
                <a:t> </a:t>
              </a:r>
              <a:r>
                <a:rPr lang="en-US" sz="1100" b="0" i="0">
                  <a:solidFill>
                    <a:schemeClr val="tx1"/>
                  </a:solidFill>
                  <a:effectLst/>
                  <a:latin typeface="Cambria Math"/>
                  <a:ea typeface="Cambria Math"/>
                  <a:cs typeface="+mn-cs"/>
                </a:rPr>
                <a:t>(</a:t>
              </a:r>
              <a:r>
                <a:rPr lang="en-US" sz="1100" b="0" i="0">
                  <a:solidFill>
                    <a:schemeClr val="tx1"/>
                  </a:solidFill>
                  <a:effectLst/>
                  <a:latin typeface="+mn-lt"/>
                  <a:ea typeface="+mn-ea"/>
                  <a:cs typeface="+mn-cs"/>
                </a:rPr>
                <a:t>𝐺_𝑚𝑖𝑛</a:t>
              </a:r>
              <a:r>
                <a:rPr lang="en-US" sz="1100" b="0" i="0">
                  <a:solidFill>
                    <a:schemeClr val="tx1"/>
                  </a:solidFill>
                  <a:effectLst/>
                  <a:latin typeface="Cambria Math"/>
                  <a:ea typeface="Cambria Math"/>
                  <a:cs typeface="+mn-cs"/>
                </a:rPr>
                <a:t> </a:t>
              </a:r>
              <a:r>
                <a:rPr lang="en-US" sz="1100" b="0" i="0">
                  <a:latin typeface="Cambria Math"/>
                  <a:ea typeface="Cambria Math"/>
                </a:rPr>
                <a:t>𝑆_𝑖)/(𝐴−𝐵)   =</a:t>
              </a:r>
              <a:endParaRPr lang="en-US" sz="1100"/>
            </a:p>
          </xdr:txBody>
        </xdr:sp>
      </mc:Fallback>
    </mc:AlternateContent>
    <xdr:clientData/>
  </xdr:oneCellAnchor>
  <xdr:oneCellAnchor>
    <xdr:from>
      <xdr:col>2</xdr:col>
      <xdr:colOff>4763</xdr:colOff>
      <xdr:row>411</xdr:row>
      <xdr:rowOff>114300</xdr:rowOff>
    </xdr:from>
    <xdr:ext cx="976312" cy="264560"/>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014413" y="49549050"/>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23" name="TextBox 22"/>
            <xdr:cNvSpPr txBox="1"/>
          </xdr:nvSpPr>
          <xdr:spPr>
            <a:xfrm>
              <a:off x="1014413" y="49549050"/>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a:t>
              </a:r>
              <a:endParaRPr lang="en-US" sz="1100"/>
            </a:p>
          </xdr:txBody>
        </xdr:sp>
      </mc:Fallback>
    </mc:AlternateContent>
    <xdr:clientData/>
  </xdr:oneCellAnchor>
  <xdr:oneCellAnchor>
    <xdr:from>
      <xdr:col>1</xdr:col>
      <xdr:colOff>352425</xdr:colOff>
      <xdr:row>420</xdr:row>
      <xdr:rowOff>104775</xdr:rowOff>
    </xdr:from>
    <xdr:ext cx="1219200" cy="264560"/>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857250" y="50996850"/>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r>
                      <a:rPr lang="en-US" sz="1100" b="0" i="1">
                        <a:latin typeface="Cambria Math"/>
                        <a:ea typeface="Cambria Math"/>
                      </a:rPr>
                      <m:t>0.0625</m:t>
                    </m:r>
                    <m:r>
                      <a:rPr lang="en-US" sz="1100" b="0" i="1">
                        <a:latin typeface="Cambria Math"/>
                        <a:ea typeface="Cambria Math"/>
                      </a:rPr>
                      <m:t>𝑖𝑛</m:t>
                    </m:r>
                  </m:oMath>
                </m:oMathPara>
              </a14:m>
              <a:endParaRPr lang="en-US" sz="1100"/>
            </a:p>
          </xdr:txBody>
        </xdr:sp>
      </mc:Choice>
      <mc:Fallback xmlns="">
        <xdr:sp macro="" textlink="">
          <xdr:nvSpPr>
            <xdr:cNvPr id="25" name="TextBox 24"/>
            <xdr:cNvSpPr txBox="1"/>
          </xdr:nvSpPr>
          <xdr:spPr>
            <a:xfrm>
              <a:off x="857250" y="50996850"/>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0.0625𝑖𝑛</a:t>
              </a:r>
              <a:endParaRPr lang="en-US" sz="1100"/>
            </a:p>
          </xdr:txBody>
        </xdr:sp>
      </mc:Fallback>
    </mc:AlternateContent>
    <xdr:clientData/>
  </xdr:oneCellAnchor>
  <xdr:oneCellAnchor>
    <xdr:from>
      <xdr:col>1</xdr:col>
      <xdr:colOff>400050</xdr:colOff>
      <xdr:row>424</xdr:row>
      <xdr:rowOff>95250</xdr:rowOff>
    </xdr:from>
    <xdr:ext cx="1219200" cy="461217"/>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904875" y="51635025"/>
              <a:ext cx="1219200" cy="461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3</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𝑠</m:t>
                            </m:r>
                          </m:sub>
                        </m:sSub>
                      </m:num>
                      <m:den>
                        <m:sSub>
                          <m:sSubPr>
                            <m:ctrlPr>
                              <a:rPr lang="en-US" sz="1100" i="1">
                                <a:latin typeface="Cambria Math" panose="02040503050406030204" pitchFamily="18" charset="0"/>
                                <a:ea typeface="Cambria Math"/>
                              </a:rPr>
                            </m:ctrlPr>
                          </m:sSubPr>
                          <m:e>
                            <m:r>
                              <a:rPr lang="en-US" sz="1100" b="0" i="1">
                                <a:latin typeface="Cambria Math"/>
                                <a:ea typeface="Cambria Math"/>
                              </a:rPr>
                              <m:t>𝐹</m:t>
                            </m:r>
                          </m:e>
                          <m:sub>
                            <m:r>
                              <a:rPr lang="en-US" sz="1100" b="0" i="1">
                                <a:latin typeface="Cambria Math"/>
                                <a:ea typeface="Cambria Math"/>
                              </a:rPr>
                              <m:t>𝑦</m:t>
                            </m:r>
                          </m:sub>
                        </m:sSub>
                      </m:den>
                    </m:f>
                    <m:r>
                      <a:rPr lang="en-US" sz="1100" b="0" i="1">
                        <a:latin typeface="Cambria Math"/>
                        <a:ea typeface="Cambria Math"/>
                      </a:rPr>
                      <m:t>=</m:t>
                    </m:r>
                  </m:oMath>
                </m:oMathPara>
              </a14:m>
              <a:endParaRPr lang="en-US" sz="1100"/>
            </a:p>
          </xdr:txBody>
        </xdr:sp>
      </mc:Choice>
      <mc:Fallback xmlns="">
        <xdr:sp macro="" textlink="">
          <xdr:nvSpPr>
            <xdr:cNvPr id="26" name="TextBox 25"/>
            <xdr:cNvSpPr txBox="1"/>
          </xdr:nvSpPr>
          <xdr:spPr>
            <a:xfrm>
              <a:off x="904875" y="51635025"/>
              <a:ext cx="1219200" cy="461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3ℎ_𝑟𝑖 𝜎_𝑠)/𝐹_𝑦 =</a:t>
              </a:r>
              <a:endParaRPr lang="en-US" sz="1100"/>
            </a:p>
          </xdr:txBody>
        </xdr:sp>
      </mc:Fallback>
    </mc:AlternateContent>
    <xdr:clientData/>
  </xdr:oneCellAnchor>
  <xdr:oneCellAnchor>
    <xdr:from>
      <xdr:col>1</xdr:col>
      <xdr:colOff>428625</xdr:colOff>
      <xdr:row>430</xdr:row>
      <xdr:rowOff>95250</xdr:rowOff>
    </xdr:from>
    <xdr:ext cx="1219200" cy="441403"/>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933450" y="52606575"/>
              <a:ext cx="1219200" cy="441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2</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𝐿</m:t>
                            </m:r>
                          </m:sub>
                        </m:sSub>
                      </m:num>
                      <m:den>
                        <m:sSub>
                          <m:sSubPr>
                            <m:ctrlPr>
                              <a:rPr lang="en-US" sz="1100" i="1">
                                <a:latin typeface="Cambria Math" panose="02040503050406030204" pitchFamily="18" charset="0"/>
                                <a:ea typeface="Cambria Math"/>
                              </a:rPr>
                            </m:ctrlPr>
                          </m:sSubPr>
                          <m:e>
                            <m:r>
                              <a:rPr lang="en-US" sz="1100" i="1">
                                <a:latin typeface="Cambria Math"/>
                                <a:ea typeface="Cambria Math"/>
                              </a:rPr>
                              <m:t>∆</m:t>
                            </m:r>
                            <m:r>
                              <a:rPr lang="en-US" sz="1100" b="0" i="1">
                                <a:latin typeface="Cambria Math"/>
                                <a:ea typeface="Cambria Math"/>
                              </a:rPr>
                              <m:t>𝐹</m:t>
                            </m:r>
                          </m:e>
                          <m:sub>
                            <m:r>
                              <a:rPr lang="en-US" sz="1100" b="0" i="1">
                                <a:latin typeface="Cambria Math"/>
                                <a:ea typeface="Cambria Math"/>
                              </a:rPr>
                              <m:t>𝑇𝐻</m:t>
                            </m:r>
                          </m:sub>
                        </m:sSub>
                      </m:den>
                    </m:f>
                    <m:r>
                      <a:rPr lang="en-US" sz="1100" b="0" i="1">
                        <a:latin typeface="Cambria Math"/>
                        <a:ea typeface="Cambria Math"/>
                      </a:rPr>
                      <m:t>=</m:t>
                    </m:r>
                  </m:oMath>
                </m:oMathPara>
              </a14:m>
              <a:endParaRPr lang="en-US" sz="1100"/>
            </a:p>
          </xdr:txBody>
        </xdr:sp>
      </mc:Choice>
      <mc:Fallback xmlns="">
        <xdr:sp macro="" textlink="">
          <xdr:nvSpPr>
            <xdr:cNvPr id="27" name="TextBox 26"/>
            <xdr:cNvSpPr txBox="1"/>
          </xdr:nvSpPr>
          <xdr:spPr>
            <a:xfrm>
              <a:off x="933450" y="52606575"/>
              <a:ext cx="1219200" cy="441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2ℎ_𝑟𝑖 𝜎_𝐿)/〖</a:t>
              </a:r>
              <a:r>
                <a:rPr lang="en-US" sz="1100" i="0">
                  <a:latin typeface="Cambria Math"/>
                  <a:ea typeface="Cambria Math"/>
                </a:rPr>
                <a:t>∆</a:t>
              </a:r>
              <a:r>
                <a:rPr lang="en-US" sz="1100" b="0" i="0">
                  <a:latin typeface="Cambria Math"/>
                  <a:ea typeface="Cambria Math"/>
                </a:rPr>
                <a:t>𝐹〗_𝑇𝐻 =</a:t>
              </a:r>
              <a:endParaRPr lang="en-US" sz="1100"/>
            </a:p>
          </xdr:txBody>
        </xdr:sp>
      </mc:Fallback>
    </mc:AlternateContent>
    <xdr:clientData/>
  </xdr:oneCellAnchor>
  <xdr:oneCellAnchor>
    <xdr:from>
      <xdr:col>0</xdr:col>
      <xdr:colOff>319088</xdr:colOff>
      <xdr:row>161</xdr:row>
      <xdr:rowOff>104775</xdr:rowOff>
    </xdr:from>
    <xdr:ext cx="1376362" cy="409215"/>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319088" y="21412200"/>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𝐷𝐿</m:t>
                        </m:r>
                        <m:r>
                          <a:rPr lang="en-US" sz="1100" b="0" i="1">
                            <a:latin typeface="Cambria Math"/>
                            <a:ea typeface="Cambria Math"/>
                          </a:rPr>
                          <m:t>+</m:t>
                        </m:r>
                        <m:r>
                          <a:rPr lang="en-US" sz="1100" b="0" i="1">
                            <a:latin typeface="Cambria Math"/>
                            <a:ea typeface="Cambria Math"/>
                          </a:rPr>
                          <m:t>𝐿𝐿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28" name="TextBox 27"/>
            <xdr:cNvSpPr txBox="1"/>
          </xdr:nvSpPr>
          <xdr:spPr>
            <a:xfrm>
              <a:off x="319088" y="21412200"/>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(𝐷𝐿+𝐿𝐿)/𝐿𝑊   =</a:t>
              </a:r>
              <a:endParaRPr lang="en-US" sz="1100"/>
            </a:p>
          </xdr:txBody>
        </xdr:sp>
      </mc:Fallback>
    </mc:AlternateContent>
    <xdr:clientData/>
  </xdr:oneCellAnchor>
  <xdr:oneCellAnchor>
    <xdr:from>
      <xdr:col>1</xdr:col>
      <xdr:colOff>100012</xdr:colOff>
      <xdr:row>164</xdr:row>
      <xdr:rowOff>104775</xdr:rowOff>
    </xdr:from>
    <xdr:ext cx="538163" cy="226460"/>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604837" y="218979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oMath>
                </m:oMathPara>
              </a14:m>
              <a:endParaRPr lang="en-US" sz="1100"/>
            </a:p>
          </xdr:txBody>
        </xdr:sp>
      </mc:Choice>
      <mc:Fallback xmlns="">
        <xdr:sp macro="" textlink="">
          <xdr:nvSpPr>
            <xdr:cNvPr id="29" name="TextBox 28"/>
            <xdr:cNvSpPr txBox="1"/>
          </xdr:nvSpPr>
          <xdr:spPr>
            <a:xfrm>
              <a:off x="604837" y="218979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𝑠  = </a:t>
              </a:r>
              <a:endParaRPr lang="en-US" sz="1100"/>
            </a:p>
          </xdr:txBody>
        </xdr:sp>
      </mc:Fallback>
    </mc:AlternateContent>
    <xdr:clientData/>
  </xdr:oneCellAnchor>
  <xdr:oneCellAnchor>
    <xdr:from>
      <xdr:col>0</xdr:col>
      <xdr:colOff>176213</xdr:colOff>
      <xdr:row>166</xdr:row>
      <xdr:rowOff>104775</xdr:rowOff>
    </xdr:from>
    <xdr:ext cx="1376362" cy="409215"/>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176213" y="2222182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𝐿𝐿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30" name="TextBox 29"/>
            <xdr:cNvSpPr txBox="1"/>
          </xdr:nvSpPr>
          <xdr:spPr>
            <a:xfrm>
              <a:off x="176213" y="2222182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𝐿  =  𝐿𝐿/𝐿𝑊   =</a:t>
              </a:r>
              <a:endParaRPr lang="en-US" sz="1100"/>
            </a:p>
          </xdr:txBody>
        </xdr:sp>
      </mc:Fallback>
    </mc:AlternateContent>
    <xdr:clientData/>
  </xdr:oneCellAnchor>
  <xdr:oneCellAnchor>
    <xdr:from>
      <xdr:col>1</xdr:col>
      <xdr:colOff>100012</xdr:colOff>
      <xdr:row>169</xdr:row>
      <xdr:rowOff>104775</xdr:rowOff>
    </xdr:from>
    <xdr:ext cx="538163" cy="22646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604837" y="227076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oMath>
                </m:oMathPara>
              </a14:m>
              <a:endParaRPr lang="en-US" sz="1100"/>
            </a:p>
          </xdr:txBody>
        </xdr:sp>
      </mc:Choice>
      <mc:Fallback xmlns="">
        <xdr:sp macro="" textlink="">
          <xdr:nvSpPr>
            <xdr:cNvPr id="31" name="TextBox 30"/>
            <xdr:cNvSpPr txBox="1"/>
          </xdr:nvSpPr>
          <xdr:spPr>
            <a:xfrm>
              <a:off x="604837" y="227076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𝐿  = </a:t>
              </a:r>
              <a:endParaRPr lang="en-US" sz="1100"/>
            </a:p>
          </xdr:txBody>
        </xdr:sp>
      </mc:Fallback>
    </mc:AlternateContent>
    <xdr:clientData/>
  </xdr:oneCellAnchor>
  <xdr:oneCellAnchor>
    <xdr:from>
      <xdr:col>1</xdr:col>
      <xdr:colOff>247650</xdr:colOff>
      <xdr:row>434</xdr:row>
      <xdr:rowOff>104775</xdr:rowOff>
    </xdr:from>
    <xdr:ext cx="1219200" cy="26456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752475" y="53587650"/>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32" name="TextBox 31"/>
            <xdr:cNvSpPr txBox="1"/>
          </xdr:nvSpPr>
          <xdr:spPr>
            <a:xfrm>
              <a:off x="752475" y="53587650"/>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b="0" i="0">
                  <a:latin typeface="Cambria Math"/>
                  <a:ea typeface="Cambria Math"/>
                </a:rPr>
                <a:t>=</a:t>
              </a:r>
              <a:endParaRPr lang="en-US" sz="1100"/>
            </a:p>
          </xdr:txBody>
        </xdr:sp>
      </mc:Fallback>
    </mc:AlternateContent>
    <xdr:clientData/>
  </xdr:oneCellAnchor>
  <xdr:oneCellAnchor>
    <xdr:from>
      <xdr:col>0</xdr:col>
      <xdr:colOff>352424</xdr:colOff>
      <xdr:row>300</xdr:row>
      <xdr:rowOff>85725</xdr:rowOff>
    </xdr:from>
    <xdr:ext cx="3914776" cy="307969"/>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352424" y="31794450"/>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e>
                    </m:d>
                    <m:r>
                      <a:rPr lang="en-US" sz="1100" b="0" i="1">
                        <a:latin typeface="Cambria Math"/>
                      </a:rPr>
                      <m:t>+1.75(</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𝑎</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𝑟</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Cambria Math"/>
                        <a:cs typeface="+mn-cs"/>
                      </a:rPr>
                      <m:t>≤5.0</m:t>
                    </m:r>
                  </m:oMath>
                </m:oMathPara>
              </a14:m>
              <a:endParaRPr lang="en-US" sz="1100"/>
            </a:p>
          </xdr:txBody>
        </xdr:sp>
      </mc:Choice>
      <mc:Fallback xmlns="">
        <xdr:sp macro="" textlink="">
          <xdr:nvSpPr>
            <xdr:cNvPr id="33" name="TextBox 32"/>
            <xdr:cNvSpPr txBox="1"/>
          </xdr:nvSpPr>
          <xdr:spPr>
            <a:xfrm>
              <a:off x="352424" y="31794450"/>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a:t>
              </a:r>
              <a:r>
                <a:rPr lang="en-US" sz="1100" b="0" i="0">
                  <a:latin typeface="Cambria Math"/>
                  <a:ea typeface="Cambria Math"/>
                </a:rPr>
                <a:t>𝛾_(</a:t>
              </a:r>
              <a:r>
                <a:rPr lang="en-US" sz="1100" b="0" i="0">
                  <a:latin typeface="Cambria Math"/>
                </a:rPr>
                <a:t>𝑎,𝑠𝑡)+</a:t>
              </a:r>
              <a:r>
                <a:rPr lang="en-US" sz="1100" b="0" i="0">
                  <a:latin typeface="Cambria Math"/>
                  <a:ea typeface="Cambria Math"/>
                </a:rPr>
                <a:t>𝛾_(</a:t>
              </a:r>
              <a:r>
                <a:rPr lang="en-US" sz="1100" b="0" i="0">
                  <a:latin typeface="Cambria Math"/>
                </a:rPr>
                <a:t>𝑟,𝑠𝑡)+</a:t>
              </a:r>
              <a:r>
                <a:rPr lang="en-US" sz="1100" b="0" i="0">
                  <a:latin typeface="Cambria Math"/>
                  <a:ea typeface="Cambria Math"/>
                </a:rPr>
                <a:t>𝛾_(</a:t>
              </a:r>
              <a:r>
                <a:rPr lang="en-US" sz="1100" b="0" i="0">
                  <a:latin typeface="Cambria Math"/>
                </a:rPr>
                <a:t>𝑠,𝑠𝑡) )+1.75(</a:t>
              </a:r>
              <a:r>
                <a:rPr lang="en-US" sz="1100" b="0" i="0">
                  <a:solidFill>
                    <a:schemeClr val="tx1"/>
                  </a:solidFill>
                  <a:effectLst/>
                  <a:latin typeface="Cambria Math"/>
                  <a:ea typeface="+mn-ea"/>
                  <a:cs typeface="+mn-cs"/>
                </a:rPr>
                <a:t>𝛾_(𝑎,𝑐𝑦)+𝛾_(𝑟,𝑐𝑦)+𝛾_(𝑠,𝑐𝑦))</a:t>
              </a:r>
              <a:r>
                <a:rPr lang="en-US" sz="1100" b="0" i="0">
                  <a:solidFill>
                    <a:schemeClr val="tx1"/>
                  </a:solidFill>
                  <a:effectLst/>
                  <a:latin typeface="Cambria Math"/>
                  <a:ea typeface="Cambria Math"/>
                  <a:cs typeface="+mn-cs"/>
                </a:rPr>
                <a:t>≤5.0</a:t>
              </a:r>
              <a:endParaRPr lang="en-US" sz="1100"/>
            </a:p>
          </xdr:txBody>
        </xdr:sp>
      </mc:Fallback>
    </mc:AlternateContent>
    <xdr:clientData/>
  </xdr:oneCellAnchor>
  <xdr:oneCellAnchor>
    <xdr:from>
      <xdr:col>0</xdr:col>
      <xdr:colOff>466724</xdr:colOff>
      <xdr:row>370</xdr:row>
      <xdr:rowOff>95250</xdr:rowOff>
    </xdr:from>
    <xdr:ext cx="876301" cy="269304"/>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466724" y="43053000"/>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𝛾</m:t>
                        </m:r>
                      </m:e>
                      <m:sub>
                        <m:r>
                          <a:rPr lang="en-US" sz="1100" b="0" i="1">
                            <a:solidFill>
                              <a:schemeClr val="tx1"/>
                            </a:solidFill>
                            <a:effectLst/>
                            <a:latin typeface="Cambria Math"/>
                            <a:ea typeface="Cambria Math"/>
                            <a:cs typeface="+mn-cs"/>
                          </a:rPr>
                          <m:t>𝑎</m:t>
                        </m:r>
                        <m:r>
                          <a:rPr lang="en-US" sz="1100" b="0" i="1">
                            <a:solidFill>
                              <a:schemeClr val="tx1"/>
                            </a:solidFill>
                            <a:effectLst/>
                            <a:latin typeface="Cambria Math"/>
                            <a:ea typeface="Cambria Math"/>
                            <a:cs typeface="+mn-cs"/>
                          </a:rPr>
                          <m:t>,</m:t>
                        </m:r>
                        <m:r>
                          <a:rPr lang="en-US" sz="1100" b="0" i="1">
                            <a:solidFill>
                              <a:schemeClr val="tx1"/>
                            </a:solidFill>
                            <a:effectLst/>
                            <a:latin typeface="Cambria Math"/>
                            <a:ea typeface="Cambria Math"/>
                            <a:cs typeface="+mn-cs"/>
                          </a:rPr>
                          <m:t>𝑠𝑡</m:t>
                        </m:r>
                      </m:sub>
                    </m:sSub>
                    <m:r>
                      <a:rPr lang="en-US" sz="1100" b="0" i="1">
                        <a:solidFill>
                          <a:schemeClr val="tx1"/>
                        </a:solidFill>
                        <a:effectLst/>
                        <a:latin typeface="Cambria Math"/>
                        <a:ea typeface="Cambria Math"/>
                        <a:cs typeface="+mn-cs"/>
                      </a:rPr>
                      <m:t>≤3.0</m:t>
                    </m:r>
                  </m:oMath>
                </m:oMathPara>
              </a14:m>
              <a:endParaRPr lang="en-US" sz="1100"/>
            </a:p>
          </xdr:txBody>
        </xdr:sp>
      </mc:Choice>
      <mc:Fallback xmlns="">
        <xdr:sp macro="" textlink="">
          <xdr:nvSpPr>
            <xdr:cNvPr id="34" name="TextBox 33"/>
            <xdr:cNvSpPr txBox="1"/>
          </xdr:nvSpPr>
          <xdr:spPr>
            <a:xfrm>
              <a:off x="466724" y="43053000"/>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Cambria Math"/>
                  <a:cs typeface="+mn-cs"/>
                </a:rPr>
                <a:t>𝛾_(𝑎,𝑠𝑡)≤3.0</a:t>
              </a:r>
              <a:endParaRPr lang="en-US" sz="1100"/>
            </a:p>
          </xdr:txBody>
        </xdr:sp>
      </mc:Fallback>
    </mc:AlternateContent>
    <xdr:clientData/>
  </xdr:oneCellAnchor>
  <xdr:oneCellAnchor>
    <xdr:from>
      <xdr:col>0</xdr:col>
      <xdr:colOff>438149</xdr:colOff>
      <xdr:row>317</xdr:row>
      <xdr:rowOff>104775</xdr:rowOff>
    </xdr:from>
    <xdr:ext cx="1376614" cy="409664"/>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438149" y="47900222"/>
              <a:ext cx="1376614"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𝑠𝑡</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r>
                      <a:rPr lang="en-US" sz="1100" b="0" i="1">
                        <a:latin typeface="Cambria Math"/>
                      </a:rPr>
                      <m:t>=</m:t>
                    </m:r>
                  </m:oMath>
                </m:oMathPara>
              </a14:m>
              <a:endParaRPr lang="en-US" sz="1100"/>
            </a:p>
          </xdr:txBody>
        </xdr:sp>
      </mc:Choice>
      <mc:Fallback xmlns="">
        <xdr:sp macro="" textlink="">
          <xdr:nvSpPr>
            <xdr:cNvPr id="35" name="TextBox 34"/>
            <xdr:cNvSpPr txBox="1"/>
          </xdr:nvSpPr>
          <xdr:spPr>
            <a:xfrm>
              <a:off x="438149" y="47900222"/>
              <a:ext cx="1376614"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𝑎,𝑠𝑡)=𝐷_𝑎  </a:t>
              </a:r>
              <a:r>
                <a:rPr lang="en-US" sz="1100" b="0" i="0">
                  <a:latin typeface="Cambria Math"/>
                  <a:ea typeface="Cambria Math"/>
                </a:rPr>
                <a:t>𝜎_(</a:t>
              </a:r>
              <a:r>
                <a:rPr lang="en-US" sz="1100" b="0" i="0">
                  <a:latin typeface="Cambria Math"/>
                </a:rPr>
                <a:t>𝑠,𝑠𝑡)/(</a:t>
              </a:r>
              <a:r>
                <a:rPr lang="en-US" sz="1100" b="0" i="0">
                  <a:solidFill>
                    <a:schemeClr val="tx1"/>
                  </a:solidFill>
                  <a:effectLst/>
                  <a:latin typeface="Cambria Math"/>
                  <a:ea typeface="+mn-ea"/>
                  <a:cs typeface="+mn-cs"/>
                </a:rPr>
                <a:t>𝐺_𝑚𝑖𝑛 </a:t>
              </a:r>
              <a:r>
                <a:rPr lang="en-US" sz="1100" b="0" i="0">
                  <a:latin typeface="Cambria Math"/>
                </a:rPr>
                <a:t>𝑆_𝑖 )=</a:t>
              </a:r>
              <a:endParaRPr lang="en-US" sz="1100"/>
            </a:p>
          </xdr:txBody>
        </xdr:sp>
      </mc:Fallback>
    </mc:AlternateContent>
    <xdr:clientData/>
  </xdr:oneCellAnchor>
  <xdr:oneCellAnchor>
    <xdr:from>
      <xdr:col>3</xdr:col>
      <xdr:colOff>495299</xdr:colOff>
      <xdr:row>310</xdr:row>
      <xdr:rowOff>38100</xdr:rowOff>
    </xdr:from>
    <xdr:ext cx="1343025" cy="414216"/>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300-000024000000}"/>
                </a:ext>
              </a:extLst>
            </xdr:cNvPr>
            <xdr:cNvSpPr txBox="1"/>
          </xdr:nvSpPr>
          <xdr:spPr>
            <a:xfrm>
              <a:off x="2247899" y="33366075"/>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𝑐𝑦</m:t>
                            </m:r>
                          </m:sub>
                        </m:sSub>
                      </m:num>
                      <m:den>
                        <m:r>
                          <a:rPr lang="en-US" sz="1100" b="0" i="1">
                            <a:latin typeface="Cambria Math"/>
                          </a:rPr>
                          <m:t>𝐺</m:t>
                        </m:r>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oMath>
                </m:oMathPara>
              </a14:m>
              <a:endParaRPr lang="en-US" sz="1100"/>
            </a:p>
          </xdr:txBody>
        </xdr:sp>
      </mc:Choice>
      <mc:Fallback xmlns="">
        <xdr:sp macro="" textlink="">
          <xdr:nvSpPr>
            <xdr:cNvPr id="36" name="TextBox 35"/>
            <xdr:cNvSpPr txBox="1"/>
          </xdr:nvSpPr>
          <xdr:spPr>
            <a:xfrm>
              <a:off x="2247899" y="33366075"/>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𝑎,𝑐𝑦)=𝐷_𝑎  </a:t>
              </a:r>
              <a:r>
                <a:rPr lang="en-US" sz="1100" b="0" i="0">
                  <a:latin typeface="Cambria Math"/>
                  <a:ea typeface="Cambria Math"/>
                </a:rPr>
                <a:t>𝜎_(</a:t>
              </a:r>
              <a:r>
                <a:rPr lang="en-US" sz="1100" b="0" i="0">
                  <a:latin typeface="Cambria Math"/>
                </a:rPr>
                <a:t>𝑠,𝑐𝑦)/(𝐺𝑆_𝑖 )</a:t>
              </a:r>
              <a:endParaRPr lang="en-US" sz="1100"/>
            </a:p>
          </xdr:txBody>
        </xdr:sp>
      </mc:Fallback>
    </mc:AlternateContent>
    <xdr:clientData/>
  </xdr:oneCellAnchor>
  <xdr:oneCellAnchor>
    <xdr:from>
      <xdr:col>1</xdr:col>
      <xdr:colOff>361949</xdr:colOff>
      <xdr:row>314</xdr:row>
      <xdr:rowOff>133350</xdr:rowOff>
    </xdr:from>
    <xdr:ext cx="1076325" cy="269304"/>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300-000025000000}"/>
                </a:ext>
              </a:extLst>
            </xdr:cNvPr>
            <xdr:cNvSpPr txBox="1"/>
          </xdr:nvSpPr>
          <xdr:spPr>
            <a:xfrm>
              <a:off x="866774" y="34109025"/>
              <a:ext cx="1076325"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ea typeface="Cambria Math"/>
                        </a:rPr>
                        <m:t>𝑑</m:t>
                      </m:r>
                    </m:sub>
                  </m:sSub>
                </m:oMath>
              </a14:m>
              <a:r>
                <a:rPr lang="en-US" sz="1100"/>
                <a:t> =</a:t>
              </a:r>
            </a:p>
          </xdr:txBody>
        </xdr:sp>
      </mc:Choice>
      <mc:Fallback xmlns="">
        <xdr:sp macro="" textlink="">
          <xdr:nvSpPr>
            <xdr:cNvPr id="37" name="TextBox 36"/>
            <xdr:cNvSpPr txBox="1"/>
          </xdr:nvSpPr>
          <xdr:spPr>
            <a:xfrm>
              <a:off x="866774" y="34109025"/>
              <a:ext cx="1076325"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𝜎_(</a:t>
              </a:r>
              <a:r>
                <a:rPr lang="en-US" sz="1100" b="0" i="0">
                  <a:latin typeface="Cambria Math"/>
                </a:rPr>
                <a:t>𝑠,𝑠𝑡)=</a:t>
              </a:r>
              <a:r>
                <a:rPr lang="en-US" sz="1100" b="0" i="0">
                  <a:latin typeface="Cambria Math"/>
                  <a:ea typeface="Cambria Math"/>
                </a:rPr>
                <a:t>𝜎_𝑑</a:t>
              </a:r>
              <a:r>
                <a:rPr lang="en-US" sz="1100"/>
                <a:t> =</a:t>
              </a:r>
            </a:p>
          </xdr:txBody>
        </xdr:sp>
      </mc:Fallback>
    </mc:AlternateContent>
    <xdr:clientData/>
  </xdr:oneCellAnchor>
  <xdr:oneCellAnchor>
    <xdr:from>
      <xdr:col>0</xdr:col>
      <xdr:colOff>242888</xdr:colOff>
      <xdr:row>171</xdr:row>
      <xdr:rowOff>104775</xdr:rowOff>
    </xdr:from>
    <xdr:ext cx="1376362" cy="413511"/>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242888" y="23031450"/>
              <a:ext cx="1376362" cy="413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𝐷𝐿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38" name="TextBox 37"/>
            <xdr:cNvSpPr txBox="1"/>
          </xdr:nvSpPr>
          <xdr:spPr>
            <a:xfrm>
              <a:off x="242888" y="23031450"/>
              <a:ext cx="1376362" cy="413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𝑑  =  𝐷𝐿/𝐿𝑊   =</a:t>
              </a:r>
              <a:endParaRPr lang="en-US" sz="1100"/>
            </a:p>
          </xdr:txBody>
        </xdr:sp>
      </mc:Fallback>
    </mc:AlternateContent>
    <xdr:clientData/>
  </xdr:oneCellAnchor>
  <xdr:oneCellAnchor>
    <xdr:from>
      <xdr:col>1</xdr:col>
      <xdr:colOff>100012</xdr:colOff>
      <xdr:row>169</xdr:row>
      <xdr:rowOff>104775</xdr:rowOff>
    </xdr:from>
    <xdr:ext cx="538163" cy="226460"/>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300-000027000000}"/>
                </a:ext>
              </a:extLst>
            </xdr:cNvPr>
            <xdr:cNvSpPr txBox="1"/>
          </xdr:nvSpPr>
          <xdr:spPr>
            <a:xfrm>
              <a:off x="604837" y="227076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oMath>
                </m:oMathPara>
              </a14:m>
              <a:endParaRPr lang="en-US" sz="1100"/>
            </a:p>
          </xdr:txBody>
        </xdr:sp>
      </mc:Choice>
      <mc:Fallback xmlns="">
        <xdr:sp macro="" textlink="">
          <xdr:nvSpPr>
            <xdr:cNvPr id="39" name="TextBox 38"/>
            <xdr:cNvSpPr txBox="1"/>
          </xdr:nvSpPr>
          <xdr:spPr>
            <a:xfrm>
              <a:off x="604837" y="227076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𝐿  = </a:t>
              </a:r>
              <a:endParaRPr lang="en-US" sz="1100"/>
            </a:p>
          </xdr:txBody>
        </xdr:sp>
      </mc:Fallback>
    </mc:AlternateContent>
    <xdr:clientData/>
  </xdr:oneCellAnchor>
  <xdr:oneCellAnchor>
    <xdr:from>
      <xdr:col>0</xdr:col>
      <xdr:colOff>442912</xdr:colOff>
      <xdr:row>174</xdr:row>
      <xdr:rowOff>114299</xdr:rowOff>
    </xdr:from>
    <xdr:ext cx="823913" cy="238125"/>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442912" y="23526749"/>
              <a:ext cx="8239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 = </m:t>
                    </m:r>
                  </m:oMath>
                </m:oMathPara>
              </a14:m>
              <a:endParaRPr lang="en-US" sz="1100"/>
            </a:p>
          </xdr:txBody>
        </xdr:sp>
      </mc:Choice>
      <mc:Fallback xmlns="">
        <xdr:sp macro="" textlink="">
          <xdr:nvSpPr>
            <xdr:cNvPr id="40" name="TextBox 39"/>
            <xdr:cNvSpPr txBox="1"/>
          </xdr:nvSpPr>
          <xdr:spPr>
            <a:xfrm>
              <a:off x="442912" y="23526749"/>
              <a:ext cx="8239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𝑑  = </a:t>
              </a:r>
              <a:endParaRPr lang="en-US" sz="1100"/>
            </a:p>
          </xdr:txBody>
        </xdr:sp>
      </mc:Fallback>
    </mc:AlternateContent>
    <xdr:clientData/>
  </xdr:oneCellAnchor>
  <xdr:oneCellAnchor>
    <xdr:from>
      <xdr:col>3</xdr:col>
      <xdr:colOff>485774</xdr:colOff>
      <xdr:row>307</xdr:row>
      <xdr:rowOff>28575</xdr:rowOff>
    </xdr:from>
    <xdr:ext cx="1343025" cy="414216"/>
    <mc:AlternateContent xmlns:mc="http://schemas.openxmlformats.org/markup-compatibility/2006" xmlns:a14="http://schemas.microsoft.com/office/drawing/2010/main">
      <mc:Choice Requires="a14">
        <xdr:sp macro="" textlink="">
          <xdr:nvSpPr>
            <xdr:cNvPr id="41" name="TextBox 40">
              <a:extLst>
                <a:ext uri="{FF2B5EF4-FFF2-40B4-BE49-F238E27FC236}">
                  <a16:creationId xmlns:a16="http://schemas.microsoft.com/office/drawing/2014/main" id="{00000000-0008-0000-0300-000029000000}"/>
                </a:ext>
              </a:extLst>
            </xdr:cNvPr>
            <xdr:cNvSpPr txBox="1"/>
          </xdr:nvSpPr>
          <xdr:spPr>
            <a:xfrm>
              <a:off x="2238374" y="32870775"/>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𝑠𝑡</m:t>
                            </m:r>
                          </m:sub>
                        </m:sSub>
                      </m:num>
                      <m:den>
                        <m:r>
                          <a:rPr lang="en-US" sz="1100" b="0" i="1">
                            <a:latin typeface="Cambria Math"/>
                          </a:rPr>
                          <m:t>𝐺</m:t>
                        </m:r>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oMath>
                </m:oMathPara>
              </a14:m>
              <a:endParaRPr lang="en-US" sz="1100"/>
            </a:p>
          </xdr:txBody>
        </xdr:sp>
      </mc:Choice>
      <mc:Fallback xmlns="">
        <xdr:sp macro="" textlink="">
          <xdr:nvSpPr>
            <xdr:cNvPr id="41" name="TextBox 40"/>
            <xdr:cNvSpPr txBox="1"/>
          </xdr:nvSpPr>
          <xdr:spPr>
            <a:xfrm>
              <a:off x="2238374" y="32870775"/>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𝑎,𝑠𝑡)=𝐷_𝑎  </a:t>
              </a:r>
              <a:r>
                <a:rPr lang="en-US" sz="1100" b="0" i="0">
                  <a:latin typeface="Cambria Math"/>
                  <a:ea typeface="Cambria Math"/>
                </a:rPr>
                <a:t>𝜎_(</a:t>
              </a:r>
              <a:r>
                <a:rPr lang="en-US" sz="1100" b="0" i="0">
                  <a:latin typeface="Cambria Math"/>
                </a:rPr>
                <a:t>𝑠,𝑠𝑡)/(𝐺𝑆_𝑖 )</a:t>
              </a:r>
              <a:endParaRPr lang="en-US" sz="1100"/>
            </a:p>
          </xdr:txBody>
        </xdr:sp>
      </mc:Fallback>
    </mc:AlternateContent>
    <xdr:clientData/>
  </xdr:oneCellAnchor>
  <xdr:oneCellAnchor>
    <xdr:from>
      <xdr:col>1</xdr:col>
      <xdr:colOff>352424</xdr:colOff>
      <xdr:row>315</xdr:row>
      <xdr:rowOff>104775</xdr:rowOff>
    </xdr:from>
    <xdr:ext cx="1076325" cy="275268"/>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300-00002A000000}"/>
                </a:ext>
              </a:extLst>
            </xdr:cNvPr>
            <xdr:cNvSpPr txBox="1"/>
          </xdr:nvSpPr>
          <xdr:spPr>
            <a:xfrm>
              <a:off x="857249" y="34280475"/>
              <a:ext cx="1076325"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𝐿</m:t>
                      </m:r>
                    </m:sub>
                  </m:sSub>
                </m:oMath>
              </a14:m>
              <a:r>
                <a:rPr lang="en-US" sz="1100"/>
                <a:t> =</a:t>
              </a:r>
            </a:p>
          </xdr:txBody>
        </xdr:sp>
      </mc:Choice>
      <mc:Fallback xmlns="">
        <xdr:sp macro="" textlink="">
          <xdr:nvSpPr>
            <xdr:cNvPr id="42" name="TextBox 41"/>
            <xdr:cNvSpPr txBox="1"/>
          </xdr:nvSpPr>
          <xdr:spPr>
            <a:xfrm>
              <a:off x="857249" y="34280475"/>
              <a:ext cx="1076325"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𝜎_(</a:t>
              </a:r>
              <a:r>
                <a:rPr lang="en-US" sz="1100" b="0" i="0">
                  <a:latin typeface="Cambria Math"/>
                </a:rPr>
                <a:t>𝑠,𝑐𝑦)=</a:t>
              </a:r>
              <a:r>
                <a:rPr lang="en-US" sz="1100" b="0" i="0">
                  <a:latin typeface="Cambria Math"/>
                  <a:ea typeface="Cambria Math"/>
                </a:rPr>
                <a:t>𝜎_</a:t>
              </a:r>
              <a:r>
                <a:rPr lang="en-US" sz="1100" b="0" i="0">
                  <a:latin typeface="Cambria Math"/>
                </a:rPr>
                <a:t>𝐿</a:t>
              </a:r>
              <a:r>
                <a:rPr lang="en-US" sz="1100"/>
                <a:t> =</a:t>
              </a:r>
            </a:p>
          </xdr:txBody>
        </xdr:sp>
      </mc:Fallback>
    </mc:AlternateContent>
    <xdr:clientData/>
  </xdr:oneCellAnchor>
  <xdr:oneCellAnchor>
    <xdr:from>
      <xdr:col>0</xdr:col>
      <xdr:colOff>428624</xdr:colOff>
      <xdr:row>320</xdr:row>
      <xdr:rowOff>142875</xdr:rowOff>
    </xdr:from>
    <xdr:ext cx="1396165" cy="414216"/>
    <mc:AlternateContent xmlns:mc="http://schemas.openxmlformats.org/markup-compatibility/2006" xmlns:a14="http://schemas.microsoft.com/office/drawing/2010/main">
      <mc:Choice Requires="a14">
        <xdr:sp macro="" textlink="">
          <xdr:nvSpPr>
            <xdr:cNvPr id="43" name="TextBox 42">
              <a:extLst>
                <a:ext uri="{FF2B5EF4-FFF2-40B4-BE49-F238E27FC236}">
                  <a16:creationId xmlns:a16="http://schemas.microsoft.com/office/drawing/2014/main" id="{00000000-0008-0000-0300-00002B000000}"/>
                </a:ext>
              </a:extLst>
            </xdr:cNvPr>
            <xdr:cNvSpPr txBox="1"/>
          </xdr:nvSpPr>
          <xdr:spPr>
            <a:xfrm>
              <a:off x="428624" y="48419586"/>
              <a:ext cx="139616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𝑐𝑦</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r>
                      <a:rPr lang="en-US" sz="1100" b="0" i="1">
                        <a:latin typeface="Cambria Math"/>
                      </a:rPr>
                      <m:t>=</m:t>
                    </m:r>
                  </m:oMath>
                </m:oMathPara>
              </a14:m>
              <a:endParaRPr lang="en-US" sz="1100"/>
            </a:p>
          </xdr:txBody>
        </xdr:sp>
      </mc:Choice>
      <mc:Fallback xmlns="">
        <xdr:sp macro="" textlink="">
          <xdr:nvSpPr>
            <xdr:cNvPr id="43" name="TextBox 42"/>
            <xdr:cNvSpPr txBox="1"/>
          </xdr:nvSpPr>
          <xdr:spPr>
            <a:xfrm>
              <a:off x="428624" y="48419586"/>
              <a:ext cx="139616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𝑎,𝑐𝑦)=𝐷_𝑎  </a:t>
              </a:r>
              <a:r>
                <a:rPr lang="en-US" sz="1100" b="0" i="0">
                  <a:latin typeface="Cambria Math"/>
                  <a:ea typeface="Cambria Math"/>
                </a:rPr>
                <a:t>𝜎_(</a:t>
              </a:r>
              <a:r>
                <a:rPr lang="en-US" sz="1100" b="0" i="0">
                  <a:latin typeface="Cambria Math"/>
                </a:rPr>
                <a:t>𝑠,𝑐𝑦)/(</a:t>
              </a:r>
              <a:r>
                <a:rPr lang="en-US" sz="1100" b="0" i="0">
                  <a:solidFill>
                    <a:schemeClr val="tx1"/>
                  </a:solidFill>
                  <a:effectLst/>
                  <a:latin typeface="Cambria Math"/>
                  <a:ea typeface="+mn-ea"/>
                  <a:cs typeface="+mn-cs"/>
                </a:rPr>
                <a:t>𝐺_𝑚𝑖𝑛 </a:t>
              </a:r>
              <a:r>
                <a:rPr lang="en-US" sz="1100" b="0" i="0">
                  <a:latin typeface="Cambria Math"/>
                </a:rPr>
                <a:t>𝑆_𝑖 )=</a:t>
              </a:r>
              <a:endParaRPr lang="en-US" sz="1100"/>
            </a:p>
          </xdr:txBody>
        </xdr:sp>
      </mc:Fallback>
    </mc:AlternateContent>
    <xdr:clientData/>
  </xdr:oneCellAnchor>
  <xdr:oneCellAnchor>
    <xdr:from>
      <xdr:col>4</xdr:col>
      <xdr:colOff>266698</xdr:colOff>
      <xdr:row>324</xdr:row>
      <xdr:rowOff>104775</xdr:rowOff>
    </xdr:from>
    <xdr:ext cx="1562101" cy="506164"/>
    <mc:AlternateContent xmlns:mc="http://schemas.openxmlformats.org/markup-compatibility/2006" xmlns:a14="http://schemas.microsoft.com/office/drawing/2010/main">
      <mc:Choice Requires="a14">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2590798" y="35737800"/>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num>
                      <m:den>
                        <m:r>
                          <a:rPr lang="en-US" sz="1100" b="0" i="1">
                            <a:latin typeface="Cambria Math"/>
                          </a:rPr>
                          <m:t>𝑛</m:t>
                        </m:r>
                      </m:den>
                    </m:f>
                  </m:oMath>
                </m:oMathPara>
              </a14:m>
              <a:endParaRPr lang="en-US" sz="1100"/>
            </a:p>
          </xdr:txBody>
        </xdr:sp>
      </mc:Choice>
      <mc:Fallback xmlns="">
        <xdr:sp macro="" textlink="">
          <xdr:nvSpPr>
            <xdr:cNvPr id="44" name="TextBox 43"/>
            <xdr:cNvSpPr txBox="1"/>
          </xdr:nvSpPr>
          <xdr:spPr>
            <a:xfrm>
              <a:off x="2590798" y="35737800"/>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𝑟,𝑠𝑡)=𝐷_𝑟 (𝐿/ℎ_𝑟𝑖 )^2  </a:t>
              </a:r>
              <a:r>
                <a:rPr lang="en-US" sz="1100" b="0" i="0">
                  <a:latin typeface="Cambria Math"/>
                  <a:ea typeface="Cambria Math"/>
                </a:rPr>
                <a:t>𝜃_(</a:t>
              </a:r>
              <a:r>
                <a:rPr lang="en-US" sz="1100" b="0" i="0">
                  <a:latin typeface="Cambria Math"/>
                </a:rPr>
                <a:t>𝑠,𝑠𝑡)/𝑛</a:t>
              </a:r>
              <a:endParaRPr lang="en-US" sz="1100"/>
            </a:p>
          </xdr:txBody>
        </xdr:sp>
      </mc:Fallback>
    </mc:AlternateContent>
    <xdr:clientData/>
  </xdr:oneCellAnchor>
  <xdr:oneCellAnchor>
    <xdr:from>
      <xdr:col>4</xdr:col>
      <xdr:colOff>295273</xdr:colOff>
      <xdr:row>328</xdr:row>
      <xdr:rowOff>123825</xdr:rowOff>
    </xdr:from>
    <xdr:ext cx="1562101" cy="506164"/>
    <mc:AlternateContent xmlns:mc="http://schemas.openxmlformats.org/markup-compatibility/2006" xmlns:a14="http://schemas.microsoft.com/office/drawing/2010/main">
      <mc:Choice Requires="a14">
        <xdr:sp macro="" textlink="">
          <xdr:nvSpPr>
            <xdr:cNvPr id="45" name="TextBox 44">
              <a:extLst>
                <a:ext uri="{FF2B5EF4-FFF2-40B4-BE49-F238E27FC236}">
                  <a16:creationId xmlns:a16="http://schemas.microsoft.com/office/drawing/2014/main" id="{00000000-0008-0000-0300-00002D000000}"/>
                </a:ext>
              </a:extLst>
            </xdr:cNvPr>
            <xdr:cNvSpPr txBox="1"/>
          </xdr:nvSpPr>
          <xdr:spPr>
            <a:xfrm>
              <a:off x="2619373" y="36404550"/>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num>
                      <m:den>
                        <m:r>
                          <a:rPr lang="en-US" sz="1100" b="0" i="1">
                            <a:latin typeface="Cambria Math"/>
                          </a:rPr>
                          <m:t>𝑛</m:t>
                        </m:r>
                      </m:den>
                    </m:f>
                  </m:oMath>
                </m:oMathPara>
              </a14:m>
              <a:endParaRPr lang="en-US" sz="1100"/>
            </a:p>
          </xdr:txBody>
        </xdr:sp>
      </mc:Choice>
      <mc:Fallback xmlns="">
        <xdr:sp macro="" textlink="">
          <xdr:nvSpPr>
            <xdr:cNvPr id="45" name="TextBox 44"/>
            <xdr:cNvSpPr txBox="1"/>
          </xdr:nvSpPr>
          <xdr:spPr>
            <a:xfrm>
              <a:off x="2619373" y="36404550"/>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𝑟,𝑐𝑦)=𝐷_𝑟 (𝐿/ℎ_𝑟𝑖 )^2  </a:t>
              </a:r>
              <a:r>
                <a:rPr lang="en-US" sz="1100" b="0" i="0">
                  <a:latin typeface="Cambria Math"/>
                  <a:ea typeface="Cambria Math"/>
                </a:rPr>
                <a:t>𝜃_(</a:t>
              </a:r>
              <a:r>
                <a:rPr lang="en-US" sz="1100" b="0" i="0">
                  <a:latin typeface="Cambria Math"/>
                </a:rPr>
                <a:t>𝑠,𝑐𝑦)/𝑛</a:t>
              </a:r>
              <a:endParaRPr lang="en-US" sz="1100"/>
            </a:p>
          </xdr:txBody>
        </xdr:sp>
      </mc:Fallback>
    </mc:AlternateContent>
    <xdr:clientData/>
  </xdr:oneCellAnchor>
  <xdr:oneCellAnchor>
    <xdr:from>
      <xdr:col>2</xdr:col>
      <xdr:colOff>304800</xdr:colOff>
      <xdr:row>334</xdr:row>
      <xdr:rowOff>114300</xdr:rowOff>
    </xdr:from>
    <xdr:ext cx="1228726" cy="275460"/>
    <mc:AlternateContent xmlns:mc="http://schemas.openxmlformats.org/markup-compatibility/2006" xmlns:a14="http://schemas.microsoft.com/office/drawing/2010/main">
      <mc:Choice Requires="a14">
        <xdr:sp macro="" textlink="">
          <xdr:nvSpPr>
            <xdr:cNvPr id="46" name="TextBox 45">
              <a:extLst>
                <a:ext uri="{FF2B5EF4-FFF2-40B4-BE49-F238E27FC236}">
                  <a16:creationId xmlns:a16="http://schemas.microsoft.com/office/drawing/2014/main" id="{00000000-0008-0000-0300-00002E000000}"/>
                </a:ext>
              </a:extLst>
            </xdr:cNvPr>
            <xdr:cNvSpPr txBox="1"/>
          </xdr:nvSpPr>
          <xdr:spPr>
            <a:xfrm>
              <a:off x="1314450" y="54187725"/>
              <a:ext cx="1228726"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𝑑</m:t>
                      </m:r>
                    </m:sub>
                  </m:sSub>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𝑟</m:t>
                      </m:r>
                    </m:sub>
                  </m:sSub>
                </m:oMath>
              </a14:m>
              <a:r>
                <a:rPr lang="en-US" sz="1100"/>
                <a:t> =</a:t>
              </a:r>
            </a:p>
          </xdr:txBody>
        </xdr:sp>
      </mc:Choice>
      <mc:Fallback xmlns="">
        <xdr:sp macro="" textlink="">
          <xdr:nvSpPr>
            <xdr:cNvPr id="46" name="TextBox 45"/>
            <xdr:cNvSpPr txBox="1"/>
          </xdr:nvSpPr>
          <xdr:spPr>
            <a:xfrm>
              <a:off x="1314450" y="54187725"/>
              <a:ext cx="1228726"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rPr>
                <a:t>𝑠,𝑠𝑡)=</a:t>
              </a:r>
              <a:r>
                <a:rPr lang="en-US" sz="1100" b="0" i="0">
                  <a:latin typeface="Cambria Math"/>
                  <a:ea typeface="Cambria Math"/>
                </a:rPr>
                <a:t>𝜃_𝑑</a:t>
              </a:r>
              <a:r>
                <a:rPr lang="en-US" sz="1100"/>
                <a:t>+ </a:t>
              </a:r>
              <a:r>
                <a:rPr lang="en-US" sz="1100" b="0" i="0">
                  <a:solidFill>
                    <a:schemeClr val="tx1"/>
                  </a:solidFill>
                  <a:effectLst/>
                  <a:latin typeface="Cambria Math"/>
                  <a:ea typeface="+mn-ea"/>
                  <a:cs typeface="+mn-cs"/>
                </a:rPr>
                <a:t>𝜃_𝑟</a:t>
              </a:r>
              <a:r>
                <a:rPr lang="en-US" sz="1100"/>
                <a:t> =</a:t>
              </a:r>
            </a:p>
          </xdr:txBody>
        </xdr:sp>
      </mc:Fallback>
    </mc:AlternateContent>
    <xdr:clientData/>
  </xdr:oneCellAnchor>
  <xdr:oneCellAnchor>
    <xdr:from>
      <xdr:col>2</xdr:col>
      <xdr:colOff>533400</xdr:colOff>
      <xdr:row>336</xdr:row>
      <xdr:rowOff>114300</xdr:rowOff>
    </xdr:from>
    <xdr:ext cx="885826" cy="275268"/>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300-00002F000000}"/>
                </a:ext>
              </a:extLst>
            </xdr:cNvPr>
            <xdr:cNvSpPr txBox="1"/>
          </xdr:nvSpPr>
          <xdr:spPr>
            <a:xfrm>
              <a:off x="1543050" y="53673375"/>
              <a:ext cx="88582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𝐿</m:t>
                      </m:r>
                    </m:sub>
                  </m:sSub>
                </m:oMath>
              </a14:m>
              <a:r>
                <a:rPr lang="en-US" sz="1100"/>
                <a:t> =</a:t>
              </a:r>
            </a:p>
          </xdr:txBody>
        </xdr:sp>
      </mc:Choice>
      <mc:Fallback xmlns="">
        <xdr:sp macro="" textlink="">
          <xdr:nvSpPr>
            <xdr:cNvPr id="47" name="TextBox 46"/>
            <xdr:cNvSpPr txBox="1"/>
          </xdr:nvSpPr>
          <xdr:spPr>
            <a:xfrm>
              <a:off x="1543050" y="53673375"/>
              <a:ext cx="88582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rPr>
                <a:t>𝑠,𝑐𝑦)=</a:t>
              </a:r>
              <a:r>
                <a:rPr lang="en-US" sz="1100" b="0" i="0">
                  <a:latin typeface="Cambria Math"/>
                  <a:ea typeface="Cambria Math"/>
                </a:rPr>
                <a:t>𝜃_</a:t>
              </a:r>
              <a:r>
                <a:rPr lang="en-US" sz="1100" b="0" i="0">
                  <a:latin typeface="Cambria Math"/>
                </a:rPr>
                <a:t>𝐿</a:t>
              </a:r>
              <a:r>
                <a:rPr lang="en-US" sz="1100"/>
                <a:t> =</a:t>
              </a:r>
            </a:p>
          </xdr:txBody>
        </xdr:sp>
      </mc:Fallback>
    </mc:AlternateContent>
    <xdr:clientData/>
  </xdr:oneCellAnchor>
  <xdr:oneCellAnchor>
    <xdr:from>
      <xdr:col>3</xdr:col>
      <xdr:colOff>161925</xdr:colOff>
      <xdr:row>109</xdr:row>
      <xdr:rowOff>85725</xdr:rowOff>
    </xdr:from>
    <xdr:ext cx="495300" cy="264560"/>
    <mc:AlternateContent xmlns:mc="http://schemas.openxmlformats.org/markup-compatibility/2006" xmlns:a14="http://schemas.microsoft.com/office/drawing/2010/main">
      <mc:Choice Requires="a14">
        <xdr:sp macro="" textlink="">
          <xdr:nvSpPr>
            <xdr:cNvPr id="48" name="TextBox 47">
              <a:extLst>
                <a:ext uri="{FF2B5EF4-FFF2-40B4-BE49-F238E27FC236}">
                  <a16:creationId xmlns:a16="http://schemas.microsoft.com/office/drawing/2014/main" id="{00000000-0008-0000-0300-000030000000}"/>
                </a:ext>
              </a:extLst>
            </xdr:cNvPr>
            <xdr:cNvSpPr txBox="1"/>
          </xdr:nvSpPr>
          <xdr:spPr>
            <a:xfrm>
              <a:off x="1914525" y="13011150"/>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ea typeface="Cambria Math"/>
                          </a:rPr>
                          <m:t>𝑑</m:t>
                        </m:r>
                      </m:sub>
                    </m:sSub>
                    <m:r>
                      <a:rPr lang="en-US" sz="1100" b="0" i="0">
                        <a:latin typeface="Cambria Math"/>
                        <a:ea typeface="Cambria Math"/>
                      </a:rPr>
                      <m:t>=</m:t>
                    </m:r>
                  </m:oMath>
                </m:oMathPara>
              </a14:m>
              <a:endParaRPr lang="en-US" sz="1100"/>
            </a:p>
          </xdr:txBody>
        </xdr:sp>
      </mc:Choice>
      <mc:Fallback xmlns="">
        <xdr:sp macro="" textlink="">
          <xdr:nvSpPr>
            <xdr:cNvPr id="48" name="TextBox 47">
              <a:extLst>
                <a:ext uri="{FF2B5EF4-FFF2-40B4-BE49-F238E27FC236}">
                  <a16:creationId xmlns:a16="http://schemas.microsoft.com/office/drawing/2014/main" xmlns:a14="http://schemas.microsoft.com/office/drawing/2010/main" xmlns="" id="{00000000-0008-0000-0300-000030000000}"/>
                </a:ext>
              </a:extLst>
            </xdr:cNvPr>
            <xdr:cNvSpPr txBox="1"/>
          </xdr:nvSpPr>
          <xdr:spPr>
            <a:xfrm>
              <a:off x="1914525" y="13011150"/>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ea typeface="Cambria Math"/>
                </a:rPr>
                <a:t>𝑑=</a:t>
              </a:r>
              <a:endParaRPr lang="en-US" sz="1100"/>
            </a:p>
          </xdr:txBody>
        </xdr:sp>
      </mc:Fallback>
    </mc:AlternateContent>
    <xdr:clientData/>
  </xdr:oneCellAnchor>
  <xdr:oneCellAnchor>
    <xdr:from>
      <xdr:col>3</xdr:col>
      <xdr:colOff>161925</xdr:colOff>
      <xdr:row>110</xdr:row>
      <xdr:rowOff>104775</xdr:rowOff>
    </xdr:from>
    <xdr:ext cx="495300" cy="264560"/>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00000000-0008-0000-0300-000031000000}"/>
                </a:ext>
              </a:extLst>
            </xdr:cNvPr>
            <xdr:cNvSpPr txBox="1"/>
          </xdr:nvSpPr>
          <xdr:spPr>
            <a:xfrm>
              <a:off x="1914525" y="1319212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𝐿</m:t>
                        </m:r>
                      </m:sub>
                    </m:sSub>
                    <m:r>
                      <a:rPr lang="en-US" sz="1100" b="0" i="0">
                        <a:latin typeface="Cambria Math"/>
                      </a:rPr>
                      <m:t>=</m:t>
                    </m:r>
                  </m:oMath>
                </m:oMathPara>
              </a14:m>
              <a:endParaRPr lang="en-US" sz="1100"/>
            </a:p>
          </xdr:txBody>
        </xdr:sp>
      </mc:Choice>
      <mc:Fallback xmlns="">
        <xdr:sp macro="" textlink="">
          <xdr:nvSpPr>
            <xdr:cNvPr id="49" name="TextBox 48">
              <a:extLst>
                <a:ext uri="{FF2B5EF4-FFF2-40B4-BE49-F238E27FC236}">
                  <a16:creationId xmlns:a16="http://schemas.microsoft.com/office/drawing/2014/main" xmlns:a14="http://schemas.microsoft.com/office/drawing/2010/main" xmlns="" id="{00000000-0008-0000-0300-000031000000}"/>
                </a:ext>
              </a:extLst>
            </xdr:cNvPr>
            <xdr:cNvSpPr txBox="1"/>
          </xdr:nvSpPr>
          <xdr:spPr>
            <a:xfrm>
              <a:off x="1914525" y="1319212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rPr>
                <a:t>𝐿=</a:t>
              </a:r>
              <a:endParaRPr lang="en-US" sz="1100"/>
            </a:p>
          </xdr:txBody>
        </xdr:sp>
      </mc:Fallback>
    </mc:AlternateContent>
    <xdr:clientData/>
  </xdr:oneCellAnchor>
  <xdr:oneCellAnchor>
    <xdr:from>
      <xdr:col>3</xdr:col>
      <xdr:colOff>171450</xdr:colOff>
      <xdr:row>115</xdr:row>
      <xdr:rowOff>85725</xdr:rowOff>
    </xdr:from>
    <xdr:ext cx="495300" cy="264560"/>
    <mc:AlternateContent xmlns:mc="http://schemas.openxmlformats.org/markup-compatibility/2006" xmlns:a14="http://schemas.microsoft.com/office/drawing/2010/main">
      <mc:Choice Requires="a14">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1924050" y="1414462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ea typeface="Cambria Math"/>
                          </a:rPr>
                          <m:t>𝑟</m:t>
                        </m:r>
                      </m:sub>
                    </m:sSub>
                    <m:r>
                      <a:rPr lang="en-US" sz="1100" b="0" i="0">
                        <a:latin typeface="Cambria Math"/>
                        <a:ea typeface="Cambria Math"/>
                      </a:rPr>
                      <m:t>=</m:t>
                    </m:r>
                  </m:oMath>
                </m:oMathPara>
              </a14:m>
              <a:endParaRPr lang="en-US" sz="1100"/>
            </a:p>
          </xdr:txBody>
        </xdr:sp>
      </mc:Choice>
      <mc:Fallback xmlns="">
        <xdr:sp macro="" textlink="">
          <xdr:nvSpPr>
            <xdr:cNvPr id="50" name="TextBox 49">
              <a:extLst>
                <a:ext uri="{FF2B5EF4-FFF2-40B4-BE49-F238E27FC236}">
                  <a16:creationId xmlns:a16="http://schemas.microsoft.com/office/drawing/2014/main" xmlns:a14="http://schemas.microsoft.com/office/drawing/2010/main" xmlns="" id="{00000000-0008-0000-0300-000032000000}"/>
                </a:ext>
              </a:extLst>
            </xdr:cNvPr>
            <xdr:cNvSpPr txBox="1"/>
          </xdr:nvSpPr>
          <xdr:spPr>
            <a:xfrm>
              <a:off x="1924050" y="1414462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ea typeface="Cambria Math"/>
                </a:rPr>
                <a:t>𝑟=</a:t>
              </a:r>
              <a:endParaRPr lang="en-US" sz="1100"/>
            </a:p>
          </xdr:txBody>
        </xdr:sp>
      </mc:Fallback>
    </mc:AlternateContent>
    <xdr:clientData/>
  </xdr:oneCellAnchor>
  <xdr:oneCellAnchor>
    <xdr:from>
      <xdr:col>1</xdr:col>
      <xdr:colOff>19048</xdr:colOff>
      <xdr:row>338</xdr:row>
      <xdr:rowOff>66675</xdr:rowOff>
    </xdr:from>
    <xdr:ext cx="1676402" cy="506164"/>
    <mc:AlternateContent xmlns:mc="http://schemas.openxmlformats.org/markup-compatibility/2006" xmlns:a14="http://schemas.microsoft.com/office/drawing/2010/main">
      <mc:Choice Requires="a14">
        <xdr:sp macro="" textlink="">
          <xdr:nvSpPr>
            <xdr:cNvPr id="52" name="TextBox 51">
              <a:extLst>
                <a:ext uri="{FF2B5EF4-FFF2-40B4-BE49-F238E27FC236}">
                  <a16:creationId xmlns:a16="http://schemas.microsoft.com/office/drawing/2014/main" id="{00000000-0008-0000-0300-000034000000}"/>
                </a:ext>
              </a:extLst>
            </xdr:cNvPr>
            <xdr:cNvSpPr txBox="1"/>
          </xdr:nvSpPr>
          <xdr:spPr>
            <a:xfrm>
              <a:off x="523873" y="37680900"/>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num>
                      <m:den>
                        <m:r>
                          <a:rPr lang="en-US" sz="1100" b="0" i="1">
                            <a:latin typeface="Cambria Math"/>
                          </a:rPr>
                          <m:t>𝑛</m:t>
                        </m:r>
                      </m:den>
                    </m:f>
                    <m:r>
                      <a:rPr lang="en-US" sz="1100" b="0" i="0">
                        <a:latin typeface="Cambria Math"/>
                        <a:ea typeface="Cambria Math"/>
                      </a:rPr>
                      <m:t>=</m:t>
                    </m:r>
                  </m:oMath>
                </m:oMathPara>
              </a14:m>
              <a:endParaRPr lang="en-US" sz="1100"/>
            </a:p>
          </xdr:txBody>
        </xdr:sp>
      </mc:Choice>
      <mc:Fallback xmlns="">
        <xdr:sp macro="" textlink="">
          <xdr:nvSpPr>
            <xdr:cNvPr id="52" name="TextBox 51"/>
            <xdr:cNvSpPr txBox="1"/>
          </xdr:nvSpPr>
          <xdr:spPr>
            <a:xfrm>
              <a:off x="523873" y="37680900"/>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𝑟,𝑠𝑡)=𝐷_𝑟 (𝐿/ℎ_𝑟𝑖 )^2  </a:t>
              </a:r>
              <a:r>
                <a:rPr lang="en-US" sz="1100" b="0" i="0">
                  <a:latin typeface="Cambria Math"/>
                  <a:ea typeface="Cambria Math"/>
                </a:rPr>
                <a:t>𝜃_(</a:t>
              </a:r>
              <a:r>
                <a:rPr lang="en-US" sz="1100" b="0" i="0">
                  <a:latin typeface="Cambria Math"/>
                </a:rPr>
                <a:t>𝑠,𝑠𝑡)/𝑛</a:t>
              </a:r>
              <a:r>
                <a:rPr lang="en-US" sz="1100" b="0" i="0">
                  <a:latin typeface="Cambria Math"/>
                  <a:ea typeface="Cambria Math"/>
                </a:rPr>
                <a:t>=</a:t>
              </a:r>
              <a:endParaRPr lang="en-US" sz="1100"/>
            </a:p>
          </xdr:txBody>
        </xdr:sp>
      </mc:Fallback>
    </mc:AlternateContent>
    <xdr:clientData/>
  </xdr:oneCellAnchor>
  <xdr:oneCellAnchor>
    <xdr:from>
      <xdr:col>1</xdr:col>
      <xdr:colOff>47623</xdr:colOff>
      <xdr:row>341</xdr:row>
      <xdr:rowOff>142875</xdr:rowOff>
    </xdr:from>
    <xdr:ext cx="1676402" cy="506164"/>
    <mc:AlternateContent xmlns:mc="http://schemas.openxmlformats.org/markup-compatibility/2006" xmlns:a14="http://schemas.microsoft.com/office/drawing/2010/main">
      <mc:Choice Requires="a14">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552448" y="38242875"/>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num>
                      <m:den>
                        <m:r>
                          <a:rPr lang="en-US" sz="1100" b="0" i="1">
                            <a:latin typeface="Cambria Math"/>
                          </a:rPr>
                          <m:t>𝑛</m:t>
                        </m:r>
                      </m:den>
                    </m:f>
                    <m:r>
                      <a:rPr lang="en-US" sz="1100" b="0" i="0">
                        <a:latin typeface="Cambria Math"/>
                        <a:ea typeface="Cambria Math"/>
                      </a:rPr>
                      <m:t>=</m:t>
                    </m:r>
                  </m:oMath>
                </m:oMathPara>
              </a14:m>
              <a:endParaRPr lang="en-US" sz="1100"/>
            </a:p>
          </xdr:txBody>
        </xdr:sp>
      </mc:Choice>
      <mc:Fallback xmlns="">
        <xdr:sp macro="" textlink="">
          <xdr:nvSpPr>
            <xdr:cNvPr id="53" name="TextBox 52"/>
            <xdr:cNvSpPr txBox="1"/>
          </xdr:nvSpPr>
          <xdr:spPr>
            <a:xfrm>
              <a:off x="552448" y="38242875"/>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𝑟,𝑐𝑦)=𝐷_𝑟 (𝐿/ℎ_𝑟𝑖 )^2  </a:t>
              </a:r>
              <a:r>
                <a:rPr lang="en-US" sz="1100" b="0" i="0">
                  <a:latin typeface="Cambria Math"/>
                  <a:ea typeface="Cambria Math"/>
                </a:rPr>
                <a:t>𝜃_(</a:t>
              </a:r>
              <a:r>
                <a:rPr lang="en-US" sz="1100" b="0" i="0">
                  <a:latin typeface="Cambria Math"/>
                </a:rPr>
                <a:t>𝑠,𝑐𝑦)/𝑛</a:t>
              </a:r>
              <a:r>
                <a:rPr lang="en-US" sz="1100" b="0" i="0">
                  <a:latin typeface="Cambria Math"/>
                  <a:ea typeface="Cambria Math"/>
                </a:rPr>
                <a:t>=</a:t>
              </a:r>
              <a:endParaRPr lang="en-US" sz="1100"/>
            </a:p>
          </xdr:txBody>
        </xdr:sp>
      </mc:Fallback>
    </mc:AlternateContent>
    <xdr:clientData/>
  </xdr:oneCellAnchor>
  <xdr:oneCellAnchor>
    <xdr:from>
      <xdr:col>5</xdr:col>
      <xdr:colOff>28575</xdr:colOff>
      <xdr:row>347</xdr:row>
      <xdr:rowOff>0</xdr:rowOff>
    </xdr:from>
    <xdr:ext cx="914400" cy="438005"/>
    <mc:AlternateContent xmlns:mc="http://schemas.openxmlformats.org/markup-compatibility/2006" xmlns:a14="http://schemas.microsoft.com/office/drawing/2010/main">
      <mc:Choice Requires="a14">
        <xdr:sp macro="" textlink="">
          <xdr:nvSpPr>
            <xdr:cNvPr id="54" name="TextBox 53">
              <a:extLst>
                <a:ext uri="{FF2B5EF4-FFF2-40B4-BE49-F238E27FC236}">
                  <a16:creationId xmlns:a16="http://schemas.microsoft.com/office/drawing/2014/main" id="{00000000-0008-0000-0300-000036000000}"/>
                </a:ext>
              </a:extLst>
            </xdr:cNvPr>
            <xdr:cNvSpPr txBox="1"/>
          </xdr:nvSpPr>
          <xdr:spPr>
            <a:xfrm>
              <a:off x="2914650" y="39071550"/>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𝑠𝑡</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oMath>
                </m:oMathPara>
              </a14:m>
              <a:endParaRPr lang="en-US" sz="1100"/>
            </a:p>
          </xdr:txBody>
        </xdr:sp>
      </mc:Choice>
      <mc:Fallback xmlns="">
        <xdr:sp macro="" textlink="">
          <xdr:nvSpPr>
            <xdr:cNvPr id="54" name="TextBox 53"/>
            <xdr:cNvSpPr txBox="1"/>
          </xdr:nvSpPr>
          <xdr:spPr>
            <a:xfrm>
              <a:off x="2914650" y="39071550"/>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𝛾_(</a:t>
              </a:r>
              <a:r>
                <a:rPr lang="en-US" sz="1100" b="0" i="0">
                  <a:latin typeface="Cambria Math"/>
                </a:rPr>
                <a:t>𝑠,𝑠𝑡)=</a:t>
              </a:r>
              <a:r>
                <a:rPr lang="en-US" sz="1100" b="0" i="0">
                  <a:latin typeface="Cambria Math"/>
                  <a:ea typeface="Cambria Math"/>
                </a:rPr>
                <a:t>∆_(</a:t>
              </a:r>
              <a:r>
                <a:rPr lang="en-US" sz="1100" b="0" i="0">
                  <a:latin typeface="Cambria Math"/>
                </a:rPr>
                <a:t>𝑠,𝑠𝑡)/ℎ_𝑟𝑡 </a:t>
              </a:r>
              <a:endParaRPr lang="en-US" sz="1100"/>
            </a:p>
          </xdr:txBody>
        </xdr:sp>
      </mc:Fallback>
    </mc:AlternateContent>
    <xdr:clientData/>
  </xdr:oneCellAnchor>
  <xdr:oneCellAnchor>
    <xdr:from>
      <xdr:col>5</xdr:col>
      <xdr:colOff>47625</xdr:colOff>
      <xdr:row>350</xdr:row>
      <xdr:rowOff>0</xdr:rowOff>
    </xdr:from>
    <xdr:ext cx="914400" cy="443455"/>
    <mc:AlternateContent xmlns:mc="http://schemas.openxmlformats.org/markup-compatibility/2006" xmlns:a14="http://schemas.microsoft.com/office/drawing/2010/main">
      <mc:Choice Requires="a14">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2933700" y="39557325"/>
              <a:ext cx="91440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𝑐𝑦</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oMath>
                </m:oMathPara>
              </a14:m>
              <a:endParaRPr lang="en-US" sz="1100"/>
            </a:p>
          </xdr:txBody>
        </xdr:sp>
      </mc:Choice>
      <mc:Fallback xmlns="">
        <xdr:sp macro="" textlink="">
          <xdr:nvSpPr>
            <xdr:cNvPr id="55" name="TextBox 54"/>
            <xdr:cNvSpPr txBox="1"/>
          </xdr:nvSpPr>
          <xdr:spPr>
            <a:xfrm>
              <a:off x="2933700" y="39557325"/>
              <a:ext cx="91440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𝛾_(</a:t>
              </a:r>
              <a:r>
                <a:rPr lang="en-US" sz="1100" b="0" i="0">
                  <a:latin typeface="Cambria Math"/>
                </a:rPr>
                <a:t>𝑠,𝑐𝑦)=</a:t>
              </a:r>
              <a:r>
                <a:rPr lang="en-US" sz="1100" b="0" i="0">
                  <a:latin typeface="Cambria Math"/>
                  <a:ea typeface="Cambria Math"/>
                </a:rPr>
                <a:t>∆_(</a:t>
              </a:r>
              <a:r>
                <a:rPr lang="en-US" sz="1100" b="0" i="0">
                  <a:latin typeface="Cambria Math"/>
                </a:rPr>
                <a:t>𝑠,𝑐𝑦)/ℎ_𝑟𝑡 </a:t>
              </a:r>
              <a:endParaRPr lang="en-US" sz="1100"/>
            </a:p>
          </xdr:txBody>
        </xdr:sp>
      </mc:Fallback>
    </mc:AlternateContent>
    <xdr:clientData/>
  </xdr:oneCellAnchor>
  <xdr:oneCellAnchor>
    <xdr:from>
      <xdr:col>1</xdr:col>
      <xdr:colOff>19050</xdr:colOff>
      <xdr:row>358</xdr:row>
      <xdr:rowOff>19050</xdr:rowOff>
    </xdr:from>
    <xdr:ext cx="1162050" cy="443455"/>
    <mc:AlternateContent xmlns:mc="http://schemas.openxmlformats.org/markup-compatibility/2006" xmlns:a14="http://schemas.microsoft.com/office/drawing/2010/main">
      <mc:Choice Requires="a14">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523875" y="41033700"/>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𝑠𝑡</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r>
                      <a:rPr lang="en-US" sz="1100" b="0" i="1">
                        <a:latin typeface="Cambria Math"/>
                      </a:rPr>
                      <m:t>=</m:t>
                    </m:r>
                  </m:oMath>
                </m:oMathPara>
              </a14:m>
              <a:endParaRPr lang="en-US" sz="1100"/>
            </a:p>
          </xdr:txBody>
        </xdr:sp>
      </mc:Choice>
      <mc:Fallback xmlns="">
        <xdr:sp macro="" textlink="">
          <xdr:nvSpPr>
            <xdr:cNvPr id="57" name="TextBox 56"/>
            <xdr:cNvSpPr txBox="1"/>
          </xdr:nvSpPr>
          <xdr:spPr>
            <a:xfrm>
              <a:off x="523875" y="41033700"/>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𝑠,𝑠𝑡)=</a:t>
              </a:r>
              <a:r>
                <a:rPr lang="en-US" sz="1100" b="0" i="0">
                  <a:latin typeface="Cambria Math"/>
                  <a:ea typeface="Cambria Math"/>
                </a:rPr>
                <a:t>∆_(</a:t>
              </a:r>
              <a:r>
                <a:rPr lang="en-US" sz="1100" b="0" i="0">
                  <a:latin typeface="Cambria Math"/>
                </a:rPr>
                <a:t>𝑠,𝑠𝑡)/ℎ_𝑟𝑡 =</a:t>
              </a:r>
              <a:endParaRPr lang="en-US" sz="1100"/>
            </a:p>
          </xdr:txBody>
        </xdr:sp>
      </mc:Fallback>
    </mc:AlternateContent>
    <xdr:clientData/>
  </xdr:oneCellAnchor>
  <xdr:oneCellAnchor>
    <xdr:from>
      <xdr:col>0</xdr:col>
      <xdr:colOff>257174</xdr:colOff>
      <xdr:row>366</xdr:row>
      <xdr:rowOff>85725</xdr:rowOff>
    </xdr:from>
    <xdr:ext cx="3914776" cy="307969"/>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300-00003A000000}"/>
                </a:ext>
              </a:extLst>
            </xdr:cNvPr>
            <xdr:cNvSpPr txBox="1"/>
          </xdr:nvSpPr>
          <xdr:spPr>
            <a:xfrm>
              <a:off x="257174" y="42395775"/>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e>
                    </m:d>
                    <m:r>
                      <a:rPr lang="en-US" sz="1100" b="0" i="1">
                        <a:latin typeface="Cambria Math"/>
                      </a:rPr>
                      <m:t>+1.75(</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𝑎</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𝑟</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Cambria Math"/>
                        <a:cs typeface="+mn-cs"/>
                      </a:rPr>
                      <m:t>≤5.0</m:t>
                    </m:r>
                  </m:oMath>
                </m:oMathPara>
              </a14:m>
              <a:endParaRPr lang="en-US" sz="1100"/>
            </a:p>
          </xdr:txBody>
        </xdr:sp>
      </mc:Choice>
      <mc:Fallback xmlns="">
        <xdr:sp macro="" textlink="">
          <xdr:nvSpPr>
            <xdr:cNvPr id="58" name="TextBox 57"/>
            <xdr:cNvSpPr txBox="1"/>
          </xdr:nvSpPr>
          <xdr:spPr>
            <a:xfrm>
              <a:off x="257174" y="42395775"/>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a:t>
              </a:r>
              <a:r>
                <a:rPr lang="en-US" sz="1100" b="0" i="0">
                  <a:latin typeface="Cambria Math"/>
                  <a:ea typeface="Cambria Math"/>
                </a:rPr>
                <a:t>𝛾_(</a:t>
              </a:r>
              <a:r>
                <a:rPr lang="en-US" sz="1100" b="0" i="0">
                  <a:latin typeface="Cambria Math"/>
                </a:rPr>
                <a:t>𝑎,𝑠𝑡)+</a:t>
              </a:r>
              <a:r>
                <a:rPr lang="en-US" sz="1100" b="0" i="0">
                  <a:latin typeface="Cambria Math"/>
                  <a:ea typeface="Cambria Math"/>
                </a:rPr>
                <a:t>𝛾_(</a:t>
              </a:r>
              <a:r>
                <a:rPr lang="en-US" sz="1100" b="0" i="0">
                  <a:latin typeface="Cambria Math"/>
                </a:rPr>
                <a:t>𝑟,𝑠𝑡)+</a:t>
              </a:r>
              <a:r>
                <a:rPr lang="en-US" sz="1100" b="0" i="0">
                  <a:latin typeface="Cambria Math"/>
                  <a:ea typeface="Cambria Math"/>
                </a:rPr>
                <a:t>𝛾_(</a:t>
              </a:r>
              <a:r>
                <a:rPr lang="en-US" sz="1100" b="0" i="0">
                  <a:latin typeface="Cambria Math"/>
                </a:rPr>
                <a:t>𝑠,𝑠𝑡) )+1.75(</a:t>
              </a:r>
              <a:r>
                <a:rPr lang="en-US" sz="1100" b="0" i="0">
                  <a:solidFill>
                    <a:schemeClr val="tx1"/>
                  </a:solidFill>
                  <a:effectLst/>
                  <a:latin typeface="Cambria Math"/>
                  <a:ea typeface="+mn-ea"/>
                  <a:cs typeface="+mn-cs"/>
                </a:rPr>
                <a:t>𝛾_(𝑎,𝑐𝑦)+𝛾_(𝑟,𝑐𝑦)+𝛾_(𝑠,𝑐𝑦))</a:t>
              </a:r>
              <a:r>
                <a:rPr lang="en-US" sz="1100" b="0" i="0">
                  <a:solidFill>
                    <a:schemeClr val="tx1"/>
                  </a:solidFill>
                  <a:effectLst/>
                  <a:latin typeface="Cambria Math"/>
                  <a:ea typeface="Cambria Math"/>
                  <a:cs typeface="+mn-cs"/>
                </a:rPr>
                <a:t>≤5.0</a:t>
              </a:r>
              <a:endParaRPr lang="en-US" sz="1100"/>
            </a:p>
          </xdr:txBody>
        </xdr:sp>
      </mc:Fallback>
    </mc:AlternateContent>
    <xdr:clientData/>
  </xdr:oneCellAnchor>
  <xdr:oneCellAnchor>
    <xdr:from>
      <xdr:col>2</xdr:col>
      <xdr:colOff>428624</xdr:colOff>
      <xdr:row>355</xdr:row>
      <xdr:rowOff>114300</xdr:rowOff>
    </xdr:from>
    <xdr:ext cx="1038225" cy="275268"/>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1438274" y="58293000"/>
              <a:ext cx="1038225"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ea typeface="Cambria Math"/>
                          </a:rPr>
                          <m:t>𝐿𝐿</m:t>
                        </m:r>
                      </m:sub>
                    </m:sSub>
                    <m:r>
                      <a:rPr lang="en-US" sz="1100" b="0" i="1">
                        <a:latin typeface="Cambria Math"/>
                      </a:rPr>
                      <m:t>=</m:t>
                    </m:r>
                  </m:oMath>
                </m:oMathPara>
              </a14:m>
              <a:endParaRPr lang="en-US" sz="1100"/>
            </a:p>
          </xdr:txBody>
        </xdr:sp>
      </mc:Choice>
      <mc:Fallback xmlns="">
        <xdr:sp macro="" textlink="">
          <xdr:nvSpPr>
            <xdr:cNvPr id="59" name="TextBox 58"/>
            <xdr:cNvSpPr txBox="1"/>
          </xdr:nvSpPr>
          <xdr:spPr>
            <a:xfrm>
              <a:off x="1438274" y="58293000"/>
              <a:ext cx="1038225"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rPr>
                <a:t>𝑠,𝑐𝑦)=</a:t>
              </a:r>
              <a:r>
                <a:rPr lang="en-US" sz="1100" b="0" i="0">
                  <a:latin typeface="Cambria Math"/>
                  <a:ea typeface="Cambria Math"/>
                </a:rPr>
                <a:t>∆_𝐿𝐿</a:t>
              </a:r>
              <a:r>
                <a:rPr lang="en-US" sz="1100" b="0" i="0">
                  <a:latin typeface="Cambria Math"/>
                </a:rPr>
                <a:t>=</a:t>
              </a:r>
              <a:endParaRPr lang="en-US" sz="1100"/>
            </a:p>
          </xdr:txBody>
        </xdr:sp>
      </mc:Fallback>
    </mc:AlternateContent>
    <xdr:clientData/>
  </xdr:oneCellAnchor>
  <xdr:oneCellAnchor>
    <xdr:from>
      <xdr:col>1</xdr:col>
      <xdr:colOff>76200</xdr:colOff>
      <xdr:row>361</xdr:row>
      <xdr:rowOff>28575</xdr:rowOff>
    </xdr:from>
    <xdr:ext cx="1162050" cy="443455"/>
    <mc:AlternateContent xmlns:mc="http://schemas.openxmlformats.org/markup-compatibility/2006" xmlns:a14="http://schemas.microsoft.com/office/drawing/2010/main">
      <mc:Choice Requires="a14">
        <xdr:sp macro="" textlink="">
          <xdr:nvSpPr>
            <xdr:cNvPr id="60" name="TextBox 59">
              <a:extLst>
                <a:ext uri="{FF2B5EF4-FFF2-40B4-BE49-F238E27FC236}">
                  <a16:creationId xmlns:a16="http://schemas.microsoft.com/office/drawing/2014/main" id="{00000000-0008-0000-0300-00003C000000}"/>
                </a:ext>
              </a:extLst>
            </xdr:cNvPr>
            <xdr:cNvSpPr txBox="1"/>
          </xdr:nvSpPr>
          <xdr:spPr>
            <a:xfrm>
              <a:off x="581025" y="41529000"/>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𝑐𝑦</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r>
                      <a:rPr lang="en-US" sz="1100" b="0" i="1">
                        <a:latin typeface="Cambria Math"/>
                      </a:rPr>
                      <m:t>=</m:t>
                    </m:r>
                  </m:oMath>
                </m:oMathPara>
              </a14:m>
              <a:endParaRPr lang="en-US" sz="1100"/>
            </a:p>
          </xdr:txBody>
        </xdr:sp>
      </mc:Choice>
      <mc:Fallback xmlns="">
        <xdr:sp macro="" textlink="">
          <xdr:nvSpPr>
            <xdr:cNvPr id="60" name="TextBox 59"/>
            <xdr:cNvSpPr txBox="1"/>
          </xdr:nvSpPr>
          <xdr:spPr>
            <a:xfrm>
              <a:off x="581025" y="41529000"/>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𝑠,𝑐𝑦)=</a:t>
              </a:r>
              <a:r>
                <a:rPr lang="en-US" sz="1100" b="0" i="0">
                  <a:latin typeface="Cambria Math"/>
                  <a:ea typeface="Cambria Math"/>
                </a:rPr>
                <a:t>∆_(</a:t>
              </a:r>
              <a:r>
                <a:rPr lang="en-US" sz="1100" b="0" i="0">
                  <a:latin typeface="Cambria Math"/>
                </a:rPr>
                <a:t>𝑠,𝑐𝑦)/ℎ_𝑟𝑡 =</a:t>
              </a:r>
              <a:endParaRPr lang="en-US" sz="1100"/>
            </a:p>
          </xdr:txBody>
        </xdr:sp>
      </mc:Fallback>
    </mc:AlternateContent>
    <xdr:clientData/>
  </xdr:oneCellAnchor>
  <xdr:oneCellAnchor>
    <xdr:from>
      <xdr:col>0</xdr:col>
      <xdr:colOff>347662</xdr:colOff>
      <xdr:row>444</xdr:row>
      <xdr:rowOff>14287</xdr:rowOff>
    </xdr:from>
    <xdr:ext cx="914400" cy="439479"/>
    <mc:AlternateContent xmlns:mc="http://schemas.openxmlformats.org/markup-compatibility/2006" xmlns:a14="http://schemas.microsoft.com/office/drawing/2010/main">
      <mc:Choice Requires="a14">
        <xdr:sp macro="" textlink="">
          <xdr:nvSpPr>
            <xdr:cNvPr id="61" name="TextBox 60">
              <a:extLst>
                <a:ext uri="{FF2B5EF4-FFF2-40B4-BE49-F238E27FC236}">
                  <a16:creationId xmlns:a16="http://schemas.microsoft.com/office/drawing/2014/main" id="{00000000-0008-0000-0300-00003D000000}"/>
                </a:ext>
              </a:extLst>
            </xdr:cNvPr>
            <xdr:cNvSpPr txBox="1"/>
          </xdr:nvSpPr>
          <xdr:spPr>
            <a:xfrm>
              <a:off x="347662" y="71061262"/>
              <a:ext cx="914400" cy="4394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num>
                      <m:den>
                        <m:r>
                          <a:rPr lang="en-US" sz="1100" b="0" i="1">
                            <a:latin typeface="Cambria Math"/>
                          </a:rPr>
                          <m:t>𝑛</m:t>
                        </m:r>
                      </m:den>
                    </m:f>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3</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𝑎</m:t>
                            </m:r>
                          </m:sub>
                        </m:sSub>
                      </m:num>
                      <m:den>
                        <m:sSub>
                          <m:sSubPr>
                            <m:ctrlPr>
                              <a:rPr lang="en-US" sz="110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den>
                    </m:f>
                  </m:oMath>
                </m:oMathPara>
              </a14:m>
              <a:endParaRPr lang="en-US" sz="1100"/>
            </a:p>
          </xdr:txBody>
        </xdr:sp>
      </mc:Choice>
      <mc:Fallback xmlns="">
        <xdr:sp macro="" textlink="">
          <xdr:nvSpPr>
            <xdr:cNvPr id="61" name="TextBox 60"/>
            <xdr:cNvSpPr txBox="1"/>
          </xdr:nvSpPr>
          <xdr:spPr>
            <a:xfrm>
              <a:off x="347662" y="71061262"/>
              <a:ext cx="914400" cy="4394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𝜃_</a:t>
              </a:r>
              <a:r>
                <a:rPr lang="en-US" sz="1100" b="0" i="0">
                  <a:latin typeface="Cambria Math"/>
                </a:rPr>
                <a:t>𝑠/𝑛</a:t>
              </a:r>
              <a:r>
                <a:rPr lang="en-US" sz="1100" i="0">
                  <a:latin typeface="Cambria Math"/>
                  <a:ea typeface="Cambria Math"/>
                </a:rPr>
                <a:t>≥(</a:t>
              </a:r>
              <a:r>
                <a:rPr lang="en-US" sz="1100" b="0" i="0">
                  <a:latin typeface="Cambria Math"/>
                  <a:ea typeface="Cambria Math"/>
                </a:rPr>
                <a:t>3𝜀_𝑎)/𝑆_𝑖 </a:t>
              </a:r>
              <a:endParaRPr lang="en-US" sz="1100"/>
            </a:p>
          </xdr:txBody>
        </xdr:sp>
      </mc:Fallback>
    </mc:AlternateContent>
    <xdr:clientData/>
  </xdr:oneCellAnchor>
  <xdr:oneCellAnchor>
    <xdr:from>
      <xdr:col>0</xdr:col>
      <xdr:colOff>414337</xdr:colOff>
      <xdr:row>447</xdr:row>
      <xdr:rowOff>109537</xdr:rowOff>
    </xdr:from>
    <xdr:ext cx="914400" cy="264560"/>
    <mc:AlternateContent xmlns:mc="http://schemas.openxmlformats.org/markup-compatibility/2006" xmlns:a14="http://schemas.microsoft.com/office/drawing/2010/main">
      <mc:Choice Requires="a14">
        <xdr:sp macro="" textlink="">
          <xdr:nvSpPr>
            <xdr:cNvPr id="62" name="TextBox 61">
              <a:extLst>
                <a:ext uri="{FF2B5EF4-FFF2-40B4-BE49-F238E27FC236}">
                  <a16:creationId xmlns:a16="http://schemas.microsoft.com/office/drawing/2014/main" id="{00000000-0008-0000-0300-00003E000000}"/>
                </a:ext>
              </a:extLst>
            </xdr:cNvPr>
            <xdr:cNvSpPr txBox="1"/>
          </xdr:nvSpPr>
          <xdr:spPr>
            <a:xfrm>
              <a:off x="414337" y="5588793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r>
                      <a:rPr lang="en-US" sz="1100" b="0" i="1">
                        <a:latin typeface="Cambria Math"/>
                      </a:rPr>
                      <m:t>=</m:t>
                    </m:r>
                  </m:oMath>
                </m:oMathPara>
              </a14:m>
              <a:endParaRPr lang="en-US" sz="1100"/>
            </a:p>
          </xdr:txBody>
        </xdr:sp>
      </mc:Choice>
      <mc:Fallback xmlns="">
        <xdr:sp macro="" textlink="">
          <xdr:nvSpPr>
            <xdr:cNvPr id="62" name="TextBox 61"/>
            <xdr:cNvSpPr txBox="1"/>
          </xdr:nvSpPr>
          <xdr:spPr>
            <a:xfrm>
              <a:off x="414337" y="5588793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𝜃_</a:t>
              </a:r>
              <a:r>
                <a:rPr lang="en-US" sz="1100" b="0" i="0">
                  <a:latin typeface="Cambria Math"/>
                </a:rPr>
                <a:t>𝑠=</a:t>
              </a:r>
              <a:endParaRPr lang="en-US" sz="1100"/>
            </a:p>
          </xdr:txBody>
        </xdr:sp>
      </mc:Fallback>
    </mc:AlternateContent>
    <xdr:clientData/>
  </xdr:oneCellAnchor>
  <xdr:oneCellAnchor>
    <xdr:from>
      <xdr:col>0</xdr:col>
      <xdr:colOff>404812</xdr:colOff>
      <xdr:row>448</xdr:row>
      <xdr:rowOff>119062</xdr:rowOff>
    </xdr:from>
    <xdr:ext cx="914400" cy="264560"/>
    <mc:AlternateContent xmlns:mc="http://schemas.openxmlformats.org/markup-compatibility/2006" xmlns:a14="http://schemas.microsoft.com/office/drawing/2010/main">
      <mc:Choice Requires="a14">
        <xdr:sp macro="" textlink="">
          <xdr:nvSpPr>
            <xdr:cNvPr id="63" name="TextBox 62">
              <a:extLst>
                <a:ext uri="{FF2B5EF4-FFF2-40B4-BE49-F238E27FC236}">
                  <a16:creationId xmlns:a16="http://schemas.microsoft.com/office/drawing/2014/main" id="{00000000-0008-0000-0300-00003F000000}"/>
                </a:ext>
              </a:extLst>
            </xdr:cNvPr>
            <xdr:cNvSpPr txBox="1"/>
          </xdr:nvSpPr>
          <xdr:spPr>
            <a:xfrm>
              <a:off x="404812" y="560593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𝑎</m:t>
                        </m:r>
                      </m:sub>
                    </m:sSub>
                    <m:r>
                      <a:rPr lang="en-US" sz="1100" b="0" i="1">
                        <a:latin typeface="Cambria Math"/>
                      </a:rPr>
                      <m:t>=</m:t>
                    </m:r>
                  </m:oMath>
                </m:oMathPara>
              </a14:m>
              <a:endParaRPr lang="en-US" sz="1100"/>
            </a:p>
          </xdr:txBody>
        </xdr:sp>
      </mc:Choice>
      <mc:Fallback xmlns="">
        <xdr:sp macro="" textlink="">
          <xdr:nvSpPr>
            <xdr:cNvPr id="63" name="TextBox 62"/>
            <xdr:cNvSpPr txBox="1"/>
          </xdr:nvSpPr>
          <xdr:spPr>
            <a:xfrm>
              <a:off x="404812" y="560593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𝜀_</a:t>
              </a:r>
              <a:r>
                <a:rPr lang="en-US" sz="1100" b="0" i="0">
                  <a:latin typeface="Cambria Math"/>
                </a:rPr>
                <a:t>𝑎=</a:t>
              </a:r>
              <a:endParaRPr lang="en-US" sz="1100"/>
            </a:p>
          </xdr:txBody>
        </xdr:sp>
      </mc:Fallback>
    </mc:AlternateContent>
    <xdr:clientData/>
  </xdr:oneCellAnchor>
  <xdr:oneCellAnchor>
    <xdr:from>
      <xdr:col>0</xdr:col>
      <xdr:colOff>347662</xdr:colOff>
      <xdr:row>450</xdr:row>
      <xdr:rowOff>138112</xdr:rowOff>
    </xdr:from>
    <xdr:ext cx="914400" cy="264560"/>
    <mc:AlternateContent xmlns:mc="http://schemas.openxmlformats.org/markup-compatibility/2006" xmlns:a14="http://schemas.microsoft.com/office/drawing/2010/main">
      <mc:Choice Requires="a14">
        <xdr:sp macro="" textlink="">
          <xdr:nvSpPr>
            <xdr:cNvPr id="64" name="TextBox 63">
              <a:extLst>
                <a:ext uri="{FF2B5EF4-FFF2-40B4-BE49-F238E27FC236}">
                  <a16:creationId xmlns:a16="http://schemas.microsoft.com/office/drawing/2014/main" id="{00000000-0008-0000-0300-000040000000}"/>
                </a:ext>
              </a:extLst>
            </xdr:cNvPr>
            <xdr:cNvSpPr txBox="1"/>
          </xdr:nvSpPr>
          <xdr:spPr>
            <a:xfrm>
              <a:off x="347662" y="564022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r>
                      <a:rPr lang="en-US" sz="1100" b="0" i="1">
                        <a:latin typeface="Cambria Math"/>
                      </a:rPr>
                      <m:t>=</m:t>
                    </m:r>
                  </m:oMath>
                </m:oMathPara>
              </a14:m>
              <a:endParaRPr lang="en-US" sz="1100"/>
            </a:p>
          </xdr:txBody>
        </xdr:sp>
      </mc:Choice>
      <mc:Fallback xmlns="">
        <xdr:sp macro="" textlink="">
          <xdr:nvSpPr>
            <xdr:cNvPr id="64" name="TextBox 63"/>
            <xdr:cNvSpPr txBox="1"/>
          </xdr:nvSpPr>
          <xdr:spPr>
            <a:xfrm>
              <a:off x="347662" y="564022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𝜃_</a:t>
              </a:r>
              <a:r>
                <a:rPr lang="en-US" sz="1100" b="0" i="0">
                  <a:latin typeface="Cambria Math"/>
                </a:rPr>
                <a:t>𝑠=</a:t>
              </a:r>
              <a:endParaRPr lang="en-US" sz="1100"/>
            </a:p>
          </xdr:txBody>
        </xdr:sp>
      </mc:Fallback>
    </mc:AlternateContent>
    <xdr:clientData/>
  </xdr:oneCellAnchor>
  <xdr:oneCellAnchor>
    <xdr:from>
      <xdr:col>1</xdr:col>
      <xdr:colOff>409574</xdr:colOff>
      <xdr:row>450</xdr:row>
      <xdr:rowOff>123825</xdr:rowOff>
    </xdr:from>
    <xdr:ext cx="2943226" cy="333375"/>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300-000041000000}"/>
                </a:ext>
              </a:extLst>
            </xdr:cNvPr>
            <xdr:cNvSpPr txBox="1"/>
          </xdr:nvSpPr>
          <xdr:spPr>
            <a:xfrm>
              <a:off x="914399" y="56388000"/>
              <a:ext cx="2943226"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+1.75</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𝑑</m:t>
                      </m:r>
                    </m:sub>
                  </m:sSub>
                </m:oMath>
              </a14:m>
              <a:r>
                <a:rPr lang="en-US" sz="1100">
                  <a:solidFill>
                    <a:schemeClr val="tx1"/>
                  </a:solidFill>
                  <a:effectLst/>
                  <a:latin typeface="+mn-lt"/>
                  <a:ea typeface="+mn-ea"/>
                  <a:cs typeface="+mn-cs"/>
                </a:rPr>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𝑟</m:t>
                      </m:r>
                    </m:sub>
                  </m:sSub>
                  <m:r>
                    <a:rPr lang="en-US" sz="1100" b="0" i="0">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1.75</m:t>
                      </m:r>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𝐿</m:t>
                      </m:r>
                    </m:sub>
                  </m:sSub>
                  <m:r>
                    <a:rPr lang="en-US" sz="1100" b="0" i="0">
                      <a:solidFill>
                        <a:schemeClr val="tx1"/>
                      </a:solidFill>
                      <a:effectLst/>
                      <a:latin typeface="Cambria Math"/>
                      <a:ea typeface="+mn-ea"/>
                      <a:cs typeface="+mn-cs"/>
                    </a:rPr>
                    <m:t>=</m:t>
                  </m:r>
                </m:oMath>
              </a14:m>
              <a:endParaRPr lang="en-US">
                <a:effectLst/>
              </a:endParaRPr>
            </a:p>
            <a:p>
              <a:endParaRPr lang="en-US" sz="1100"/>
            </a:p>
          </xdr:txBody>
        </xdr:sp>
      </mc:Choice>
      <mc:Fallback xmlns="">
        <xdr:sp macro="" textlink="">
          <xdr:nvSpPr>
            <xdr:cNvPr id="65" name="TextBox 64"/>
            <xdr:cNvSpPr txBox="1"/>
          </xdr:nvSpPr>
          <xdr:spPr>
            <a:xfrm>
              <a:off x="914399" y="56388000"/>
              <a:ext cx="2943226"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i="0">
                  <a:latin typeface="Cambria Math"/>
                  <a:ea typeface="Cambria Math"/>
                </a:rPr>
                <a:t>𝜃_(</a:t>
              </a:r>
              <a:r>
                <a:rPr lang="en-US" sz="1100" b="0" i="0">
                  <a:latin typeface="Cambria Math"/>
                </a:rPr>
                <a:t>𝑠,𝑠𝑡)+1.75</a:t>
              </a:r>
              <a:r>
                <a:rPr lang="en-US" sz="1100" b="0" i="0">
                  <a:latin typeface="Cambria Math"/>
                  <a:ea typeface="Cambria Math"/>
                </a:rPr>
                <a:t>𝜃_(</a:t>
              </a:r>
              <a:r>
                <a:rPr lang="en-US" sz="1100" b="0" i="0">
                  <a:latin typeface="Cambria Math"/>
                </a:rPr>
                <a:t>𝑠,𝑐𝑦)=</a:t>
              </a:r>
              <a:r>
                <a:rPr lang="en-US" sz="1100"/>
                <a:t> </a:t>
              </a:r>
              <a:r>
                <a:rPr lang="en-US" sz="1100" b="0" i="0">
                  <a:solidFill>
                    <a:schemeClr val="tx1"/>
                  </a:solidFill>
                  <a:effectLst/>
                  <a:latin typeface="Cambria Math"/>
                  <a:ea typeface="+mn-ea"/>
                  <a:cs typeface="+mn-cs"/>
                </a:rPr>
                <a:t>𝜃_𝑑</a:t>
              </a:r>
              <a:r>
                <a:rPr lang="en-US" sz="1100">
                  <a:solidFill>
                    <a:schemeClr val="tx1"/>
                  </a:solidFill>
                  <a:effectLst/>
                  <a:latin typeface="+mn-lt"/>
                  <a:ea typeface="+mn-ea"/>
                  <a:cs typeface="+mn-cs"/>
                </a:rPr>
                <a:t>+ </a:t>
              </a:r>
              <a:r>
                <a:rPr lang="en-US" sz="1100" b="0" i="0">
                  <a:solidFill>
                    <a:schemeClr val="tx1"/>
                  </a:solidFill>
                  <a:effectLst/>
                  <a:latin typeface="Cambria Math"/>
                  <a:ea typeface="+mn-ea"/>
                  <a:cs typeface="+mn-cs"/>
                </a:rPr>
                <a:t>𝜃_𝑟+〖1.75𝜃〗_𝐿=</a:t>
              </a:r>
              <a:endParaRPr lang="en-US">
                <a:effectLst/>
              </a:endParaRPr>
            </a:p>
            <a:p>
              <a:endParaRPr lang="en-US" sz="1100"/>
            </a:p>
          </xdr:txBody>
        </xdr:sp>
      </mc:Fallback>
    </mc:AlternateContent>
    <xdr:clientData/>
  </xdr:oneCellAnchor>
  <xdr:oneCellAnchor>
    <xdr:from>
      <xdr:col>1</xdr:col>
      <xdr:colOff>109537</xdr:colOff>
      <xdr:row>458</xdr:row>
      <xdr:rowOff>90487</xdr:rowOff>
    </xdr:from>
    <xdr:ext cx="914400" cy="440377"/>
    <mc:AlternateContent xmlns:mc="http://schemas.openxmlformats.org/markup-compatibility/2006" xmlns:a14="http://schemas.microsoft.com/office/drawing/2010/main">
      <mc:Choice Requires="a14">
        <xdr:sp macro="" textlink="">
          <xdr:nvSpPr>
            <xdr:cNvPr id="70" name="TextBox 69">
              <a:extLst>
                <a:ext uri="{FF2B5EF4-FFF2-40B4-BE49-F238E27FC236}">
                  <a16:creationId xmlns:a16="http://schemas.microsoft.com/office/drawing/2014/main" id="{00000000-0008-0000-0300-000046000000}"/>
                </a:ext>
              </a:extLst>
            </xdr:cNvPr>
            <xdr:cNvSpPr txBox="1"/>
          </xdr:nvSpPr>
          <xdr:spPr>
            <a:xfrm>
              <a:off x="614362" y="59107387"/>
              <a:ext cx="9144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num>
                      <m:den>
                        <m:r>
                          <a:rPr lang="en-US" sz="1100" b="0" i="1">
                            <a:latin typeface="Cambria Math"/>
                          </a:rPr>
                          <m:t>𝑛</m:t>
                        </m:r>
                      </m:den>
                    </m:f>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3</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𝑎</m:t>
                            </m:r>
                          </m:sub>
                        </m:sSub>
                      </m:num>
                      <m:den>
                        <m:sSub>
                          <m:sSubPr>
                            <m:ctrlPr>
                              <a:rPr lang="en-US" sz="110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den>
                    </m:f>
                    <m:r>
                      <a:rPr lang="en-US" sz="1100" b="0" i="0">
                        <a:latin typeface="Cambria Math"/>
                        <a:ea typeface="Cambria Math"/>
                      </a:rPr>
                      <m:t>=</m:t>
                    </m:r>
                  </m:oMath>
                </m:oMathPara>
              </a14:m>
              <a:endParaRPr lang="en-US" sz="1100"/>
            </a:p>
          </xdr:txBody>
        </xdr:sp>
      </mc:Choice>
      <mc:Fallback xmlns="">
        <xdr:sp macro="" textlink="">
          <xdr:nvSpPr>
            <xdr:cNvPr id="70" name="TextBox 69"/>
            <xdr:cNvSpPr txBox="1"/>
          </xdr:nvSpPr>
          <xdr:spPr>
            <a:xfrm>
              <a:off x="614362" y="59107387"/>
              <a:ext cx="9144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𝜃_</a:t>
              </a:r>
              <a:r>
                <a:rPr lang="en-US" sz="1100" b="0" i="0">
                  <a:latin typeface="Cambria Math"/>
                </a:rPr>
                <a:t>𝑠/𝑛</a:t>
              </a:r>
              <a:r>
                <a:rPr lang="en-US" sz="1100" i="0">
                  <a:latin typeface="Cambria Math"/>
                  <a:ea typeface="Cambria Math"/>
                </a:rPr>
                <a:t>≥(</a:t>
              </a:r>
              <a:r>
                <a:rPr lang="en-US" sz="1100" b="0" i="0">
                  <a:latin typeface="Cambria Math"/>
                  <a:ea typeface="Cambria Math"/>
                </a:rPr>
                <a:t>3𝜀_𝑎)/𝑆_𝑖 =</a:t>
              </a:r>
              <a:endParaRPr lang="en-US" sz="1100"/>
            </a:p>
          </xdr:txBody>
        </xdr:sp>
      </mc:Fallback>
    </mc:AlternateContent>
    <xdr:clientData/>
  </xdr:oneCellAnchor>
  <xdr:oneCellAnchor>
    <xdr:from>
      <xdr:col>1</xdr:col>
      <xdr:colOff>100011</xdr:colOff>
      <xdr:row>454</xdr:row>
      <xdr:rowOff>85725</xdr:rowOff>
    </xdr:from>
    <xdr:ext cx="2624139" cy="275268"/>
    <mc:AlternateContent xmlns:mc="http://schemas.openxmlformats.org/markup-compatibility/2006" xmlns:a14="http://schemas.microsoft.com/office/drawing/2010/main">
      <mc:Choice Requires="a14">
        <xdr:sp macro="" textlink="">
          <xdr:nvSpPr>
            <xdr:cNvPr id="71" name="TextBox 70">
              <a:extLst>
                <a:ext uri="{FF2B5EF4-FFF2-40B4-BE49-F238E27FC236}">
                  <a16:creationId xmlns:a16="http://schemas.microsoft.com/office/drawing/2014/main" id="{00000000-0008-0000-0300-000047000000}"/>
                </a:ext>
              </a:extLst>
            </xdr:cNvPr>
            <xdr:cNvSpPr txBox="1"/>
          </xdr:nvSpPr>
          <xdr:spPr>
            <a:xfrm>
              <a:off x="604836" y="72780525"/>
              <a:ext cx="2624139"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𝑎</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1.75</m:t>
                      </m:r>
                      <m:r>
                        <a:rPr lang="en-US" sz="1100" b="0" i="1">
                          <a:latin typeface="Cambria Math"/>
                          <a:ea typeface="Cambria Math"/>
                        </a:rPr>
                        <m:t>𝜀</m:t>
                      </m:r>
                    </m:e>
                    <m:sub>
                      <m:r>
                        <a:rPr lang="en-US" sz="1100" b="0" i="1">
                          <a:latin typeface="Cambria Math"/>
                        </a:rPr>
                        <m:t>𝑐𝑦</m:t>
                      </m:r>
                    </m:sub>
                  </m:sSub>
                  <m:r>
                    <a:rPr lang="en-US" sz="1100" b="0" i="1">
                      <a:latin typeface="Cambria Math"/>
                    </a:rPr>
                    <m:t>=</m:t>
                  </m:r>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𝑑</m:t>
                      </m:r>
                    </m:sub>
                  </m:sSub>
                  <m:r>
                    <a:rPr lang="en-US" sz="1100" b="0" i="1">
                      <a:solidFill>
                        <a:schemeClr val="tx1"/>
                      </a:solidFill>
                      <a:effectLst/>
                      <a:latin typeface="Cambria Math"/>
                      <a:ea typeface="+mn-ea"/>
                      <a:cs typeface="+mn-cs"/>
                    </a:rPr>
                    <m:t>+1.75</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𝐿</m:t>
                      </m:r>
                    </m:sub>
                  </m:sSub>
                  <m:r>
                    <a:rPr lang="en-US" sz="1100" b="0" i="0">
                      <a:solidFill>
                        <a:schemeClr val="tx1"/>
                      </a:solidFill>
                      <a:effectLst/>
                      <a:latin typeface="Cambria Math"/>
                      <a:ea typeface="+mn-ea"/>
                      <a:cs typeface="+mn-cs"/>
                    </a:rPr>
                    <m:t>=</m:t>
                  </m:r>
                </m:oMath>
              </a14:m>
              <a:endParaRPr lang="en-US" sz="1100"/>
            </a:p>
          </xdr:txBody>
        </xdr:sp>
      </mc:Choice>
      <mc:Fallback xmlns="">
        <xdr:sp macro="" textlink="">
          <xdr:nvSpPr>
            <xdr:cNvPr id="71" name="TextBox 70">
              <a:extLst>
                <a:ext uri="{FF2B5EF4-FFF2-40B4-BE49-F238E27FC236}">
                  <a16:creationId xmlns:a16="http://schemas.microsoft.com/office/drawing/2014/main" xmlns:a14="http://schemas.microsoft.com/office/drawing/2010/main" xmlns="" id="{00000000-0008-0000-0300-000047000000}"/>
                </a:ext>
              </a:extLst>
            </xdr:cNvPr>
            <xdr:cNvSpPr txBox="1"/>
          </xdr:nvSpPr>
          <xdr:spPr>
            <a:xfrm>
              <a:off x="604836" y="72780525"/>
              <a:ext cx="2624139"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𝜀_</a:t>
              </a:r>
              <a:r>
                <a:rPr lang="en-US" sz="1100" b="0" i="0">
                  <a:latin typeface="Cambria Math"/>
                </a:rPr>
                <a:t>𝑎=</a:t>
              </a:r>
              <a:r>
                <a:rPr lang="en-US" sz="1100" b="0" i="0">
                  <a:latin typeface="Cambria Math"/>
                  <a:ea typeface="Cambria Math"/>
                </a:rPr>
                <a:t>𝜀_</a:t>
              </a:r>
              <a:r>
                <a:rPr lang="en-US" sz="1100" b="0" i="0">
                  <a:latin typeface="Cambria Math"/>
                </a:rPr>
                <a:t>𝑠𝑡+〖1.75</a:t>
              </a:r>
              <a:r>
                <a:rPr lang="en-US" sz="1100" b="0" i="0">
                  <a:latin typeface="Cambria Math"/>
                  <a:ea typeface="Cambria Math"/>
                </a:rPr>
                <a:t>𝜀〗_</a:t>
              </a:r>
              <a:r>
                <a:rPr lang="en-US" sz="1100" b="0" i="0">
                  <a:latin typeface="Cambria Math"/>
                </a:rPr>
                <a:t>𝑐𝑦=</a:t>
              </a:r>
              <a:r>
                <a:rPr lang="en-US" sz="1100"/>
                <a:t> </a:t>
              </a:r>
              <a:r>
                <a:rPr lang="en-US" sz="1100" b="0" i="0">
                  <a:solidFill>
                    <a:schemeClr val="tx1"/>
                  </a:solidFill>
                  <a:effectLst/>
                  <a:latin typeface="Cambria Math"/>
                  <a:ea typeface="+mn-ea"/>
                  <a:cs typeface="+mn-cs"/>
                </a:rPr>
                <a:t>𝜀_𝑑+1.75𝜀_𝐿=</a:t>
              </a:r>
              <a:endParaRPr lang="en-US" sz="1100"/>
            </a:p>
          </xdr:txBody>
        </xdr:sp>
      </mc:Fallback>
    </mc:AlternateContent>
    <xdr:clientData/>
  </xdr:oneCellAnchor>
  <xdr:oneCellAnchor>
    <xdr:from>
      <xdr:col>0</xdr:col>
      <xdr:colOff>342900</xdr:colOff>
      <xdr:row>142</xdr:row>
      <xdr:rowOff>104775</xdr:rowOff>
    </xdr:from>
    <xdr:ext cx="914400" cy="264560"/>
    <mc:AlternateContent xmlns:mc="http://schemas.openxmlformats.org/markup-compatibility/2006" xmlns:a14="http://schemas.microsoft.com/office/drawing/2010/main">
      <mc:Choice Requires="a14">
        <xdr:sp macro="" textlink="">
          <xdr:nvSpPr>
            <xdr:cNvPr id="75" name="TextBox 74">
              <a:extLst>
                <a:ext uri="{FF2B5EF4-FFF2-40B4-BE49-F238E27FC236}">
                  <a16:creationId xmlns:a16="http://schemas.microsoft.com/office/drawing/2014/main" id="{00000000-0008-0000-0300-00004B000000}"/>
                </a:ext>
              </a:extLst>
            </xdr:cNvPr>
            <xdr:cNvSpPr txBox="1"/>
          </xdr:nvSpPr>
          <xdr:spPr>
            <a:xfrm>
              <a:off x="342900" y="1830705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𝑜</m:t>
                        </m:r>
                      </m:sub>
                    </m:sSub>
                    <m:r>
                      <a:rPr lang="en-US" sz="1100" b="0" i="1">
                        <a:latin typeface="Cambria Math"/>
                      </a:rPr>
                      <m:t>=</m:t>
                    </m:r>
                  </m:oMath>
                </m:oMathPara>
              </a14:m>
              <a:endParaRPr lang="en-US" sz="1100"/>
            </a:p>
          </xdr:txBody>
        </xdr:sp>
      </mc:Choice>
      <mc:Fallback xmlns="">
        <xdr:sp macro="" textlink="">
          <xdr:nvSpPr>
            <xdr:cNvPr id="75" name="TextBox 74"/>
            <xdr:cNvSpPr txBox="1"/>
          </xdr:nvSpPr>
          <xdr:spPr>
            <a:xfrm>
              <a:off x="342900" y="1830705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∆_</a:t>
              </a:r>
              <a:r>
                <a:rPr lang="en-US" sz="1100" b="0" i="0">
                  <a:latin typeface="Cambria Math"/>
                  <a:ea typeface="Cambria Math"/>
                </a:rPr>
                <a:t>𝑜</a:t>
              </a:r>
              <a:r>
                <a:rPr lang="en-US" sz="1100" b="0" i="0">
                  <a:latin typeface="Cambria Math"/>
                </a:rPr>
                <a:t>=</a:t>
              </a:r>
              <a:endParaRPr lang="en-US" sz="1100"/>
            </a:p>
          </xdr:txBody>
        </xdr:sp>
      </mc:Fallback>
    </mc:AlternateContent>
    <xdr:clientData/>
  </xdr:oneCellAnchor>
  <xdr:oneCellAnchor>
    <xdr:from>
      <xdr:col>0</xdr:col>
      <xdr:colOff>342900</xdr:colOff>
      <xdr:row>143</xdr:row>
      <xdr:rowOff>114300</xdr:rowOff>
    </xdr:from>
    <xdr:ext cx="914400" cy="264560"/>
    <mc:AlternateContent xmlns:mc="http://schemas.openxmlformats.org/markup-compatibility/2006" xmlns:a14="http://schemas.microsoft.com/office/drawing/2010/main">
      <mc:Choice Requires="a14">
        <xdr:sp macro="" textlink="">
          <xdr:nvSpPr>
            <xdr:cNvPr id="76" name="TextBox 75">
              <a:extLst>
                <a:ext uri="{FF2B5EF4-FFF2-40B4-BE49-F238E27FC236}">
                  <a16:creationId xmlns:a16="http://schemas.microsoft.com/office/drawing/2014/main" id="{00000000-0008-0000-0300-00004C000000}"/>
                </a:ext>
              </a:extLst>
            </xdr:cNvPr>
            <xdr:cNvSpPr txBox="1"/>
          </xdr:nvSpPr>
          <xdr:spPr>
            <a:xfrm>
              <a:off x="342900" y="184785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𝑠</m:t>
                        </m:r>
                      </m:sub>
                    </m:sSub>
                    <m:r>
                      <a:rPr lang="en-US" sz="1100" b="0" i="1">
                        <a:latin typeface="Cambria Math"/>
                      </a:rPr>
                      <m:t>=</m:t>
                    </m:r>
                  </m:oMath>
                </m:oMathPara>
              </a14:m>
              <a:endParaRPr lang="en-US" sz="1100"/>
            </a:p>
          </xdr:txBody>
        </xdr:sp>
      </mc:Choice>
      <mc:Fallback xmlns="">
        <xdr:sp macro="" textlink="">
          <xdr:nvSpPr>
            <xdr:cNvPr id="76" name="TextBox 75"/>
            <xdr:cNvSpPr txBox="1"/>
          </xdr:nvSpPr>
          <xdr:spPr>
            <a:xfrm>
              <a:off x="342900" y="184785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∆_</a:t>
              </a:r>
              <a:r>
                <a:rPr lang="en-US" sz="1100" b="0" i="0">
                  <a:latin typeface="Cambria Math"/>
                  <a:ea typeface="Cambria Math"/>
                </a:rPr>
                <a:t>𝑠</a:t>
              </a:r>
              <a:r>
                <a:rPr lang="en-US" sz="1100" b="0" i="0">
                  <a:latin typeface="Cambria Math"/>
                </a:rPr>
                <a:t>=</a:t>
              </a:r>
              <a:endParaRPr lang="en-US" sz="1100"/>
            </a:p>
          </xdr:txBody>
        </xdr:sp>
      </mc:Fallback>
    </mc:AlternateContent>
    <xdr:clientData/>
  </xdr:oneCellAnchor>
  <xdr:oneCellAnchor>
    <xdr:from>
      <xdr:col>3</xdr:col>
      <xdr:colOff>142876</xdr:colOff>
      <xdr:row>129</xdr:row>
      <xdr:rowOff>107157</xdr:rowOff>
    </xdr:from>
    <xdr:ext cx="733425" cy="264560"/>
    <mc:AlternateContent xmlns:mc="http://schemas.openxmlformats.org/markup-compatibility/2006" xmlns:a14="http://schemas.microsoft.com/office/drawing/2010/main">
      <mc:Choice Requires="a14">
        <xdr:sp macro="" textlink="">
          <xdr:nvSpPr>
            <xdr:cNvPr id="77" name="TextBox 76">
              <a:extLst>
                <a:ext uri="{FF2B5EF4-FFF2-40B4-BE49-F238E27FC236}">
                  <a16:creationId xmlns:a16="http://schemas.microsoft.com/office/drawing/2014/main" id="{00000000-0008-0000-0300-00004D000000}"/>
                </a:ext>
              </a:extLst>
            </xdr:cNvPr>
            <xdr:cNvSpPr txBox="1"/>
          </xdr:nvSpPr>
          <xdr:spPr>
            <a:xfrm>
              <a:off x="1895476" y="21862257"/>
              <a:ext cx="733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𝑇𝑈</m:t>
                        </m:r>
                      </m:sub>
                    </m:sSub>
                    <m:r>
                      <a:rPr lang="en-US" sz="1100" b="0" i="1">
                        <a:latin typeface="Cambria Math"/>
                      </a:rPr>
                      <m:t>=</m:t>
                    </m:r>
                  </m:oMath>
                </m:oMathPara>
              </a14:m>
              <a:endParaRPr lang="en-US" sz="1100"/>
            </a:p>
          </xdr:txBody>
        </xdr:sp>
      </mc:Choice>
      <mc:Fallback xmlns="">
        <xdr:sp macro="" textlink="">
          <xdr:nvSpPr>
            <xdr:cNvPr id="77" name="TextBox 76"/>
            <xdr:cNvSpPr txBox="1"/>
          </xdr:nvSpPr>
          <xdr:spPr>
            <a:xfrm>
              <a:off x="1895476" y="21862257"/>
              <a:ext cx="733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𝑇𝑈=</a:t>
              </a:r>
              <a:endParaRPr lang="en-US" sz="1100"/>
            </a:p>
          </xdr:txBody>
        </xdr:sp>
      </mc:Fallback>
    </mc:AlternateContent>
    <xdr:clientData/>
  </xdr:oneCellAnchor>
  <xdr:oneCellAnchor>
    <xdr:from>
      <xdr:col>1</xdr:col>
      <xdr:colOff>85724</xdr:colOff>
      <xdr:row>303</xdr:row>
      <xdr:rowOff>85725</xdr:rowOff>
    </xdr:from>
    <xdr:ext cx="876301" cy="269304"/>
    <mc:AlternateContent xmlns:mc="http://schemas.openxmlformats.org/markup-compatibility/2006" xmlns:a14="http://schemas.microsoft.com/office/drawing/2010/main">
      <mc:Choice Requires="a14">
        <xdr:sp macro="" textlink="">
          <xdr:nvSpPr>
            <xdr:cNvPr id="78" name="TextBox 77">
              <a:extLst>
                <a:ext uri="{FF2B5EF4-FFF2-40B4-BE49-F238E27FC236}">
                  <a16:creationId xmlns:a16="http://schemas.microsoft.com/office/drawing/2014/main" id="{00000000-0008-0000-0300-00004E000000}"/>
                </a:ext>
              </a:extLst>
            </xdr:cNvPr>
            <xdr:cNvSpPr txBox="1"/>
          </xdr:nvSpPr>
          <xdr:spPr>
            <a:xfrm>
              <a:off x="590549" y="32280225"/>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𝛾</m:t>
                        </m:r>
                      </m:e>
                      <m:sub>
                        <m:r>
                          <a:rPr lang="en-US" sz="1100" b="0" i="1">
                            <a:solidFill>
                              <a:schemeClr val="tx1"/>
                            </a:solidFill>
                            <a:effectLst/>
                            <a:latin typeface="Cambria Math"/>
                            <a:ea typeface="Cambria Math"/>
                            <a:cs typeface="+mn-cs"/>
                          </a:rPr>
                          <m:t>𝑎</m:t>
                        </m:r>
                        <m:r>
                          <a:rPr lang="en-US" sz="1100" b="0" i="1">
                            <a:solidFill>
                              <a:schemeClr val="tx1"/>
                            </a:solidFill>
                            <a:effectLst/>
                            <a:latin typeface="Cambria Math"/>
                            <a:ea typeface="Cambria Math"/>
                            <a:cs typeface="+mn-cs"/>
                          </a:rPr>
                          <m:t>,</m:t>
                        </m:r>
                        <m:r>
                          <a:rPr lang="en-US" sz="1100" b="0" i="1">
                            <a:solidFill>
                              <a:schemeClr val="tx1"/>
                            </a:solidFill>
                            <a:effectLst/>
                            <a:latin typeface="Cambria Math"/>
                            <a:ea typeface="Cambria Math"/>
                            <a:cs typeface="+mn-cs"/>
                          </a:rPr>
                          <m:t>𝑠𝑡</m:t>
                        </m:r>
                      </m:sub>
                    </m:sSub>
                    <m:r>
                      <a:rPr lang="en-US" sz="1100" b="0" i="1">
                        <a:solidFill>
                          <a:schemeClr val="tx1"/>
                        </a:solidFill>
                        <a:effectLst/>
                        <a:latin typeface="Cambria Math"/>
                        <a:ea typeface="Cambria Math"/>
                        <a:cs typeface="+mn-cs"/>
                      </a:rPr>
                      <m:t>≤3.0</m:t>
                    </m:r>
                  </m:oMath>
                </m:oMathPara>
              </a14:m>
              <a:endParaRPr lang="en-US" sz="1100"/>
            </a:p>
          </xdr:txBody>
        </xdr:sp>
      </mc:Choice>
      <mc:Fallback xmlns="">
        <xdr:sp macro="" textlink="">
          <xdr:nvSpPr>
            <xdr:cNvPr id="78" name="TextBox 77"/>
            <xdr:cNvSpPr txBox="1"/>
          </xdr:nvSpPr>
          <xdr:spPr>
            <a:xfrm>
              <a:off x="590549" y="32280225"/>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Cambria Math"/>
                  <a:cs typeface="+mn-cs"/>
                </a:rPr>
                <a:t>𝛾_(𝑎,𝑠𝑡)≤3.0</a:t>
              </a:r>
              <a:endParaRPr lang="en-US" sz="1100"/>
            </a:p>
          </xdr:txBody>
        </xdr:sp>
      </mc:Fallback>
    </mc:AlternateContent>
    <xdr:clientData/>
  </xdr:oneCellAnchor>
  <xdr:oneCellAnchor>
    <xdr:from>
      <xdr:col>1</xdr:col>
      <xdr:colOff>214311</xdr:colOff>
      <xdr:row>291</xdr:row>
      <xdr:rowOff>9525</xdr:rowOff>
    </xdr:from>
    <xdr:ext cx="1776413" cy="247650"/>
    <mc:AlternateContent xmlns:mc="http://schemas.openxmlformats.org/markup-compatibility/2006" xmlns:a14="http://schemas.microsoft.com/office/drawing/2010/main">
      <mc:Choice Requires="a14">
        <xdr:sp macro="" textlink="">
          <xdr:nvSpPr>
            <xdr:cNvPr id="79" name="TextBox 78">
              <a:extLst>
                <a:ext uri="{FF2B5EF4-FFF2-40B4-BE49-F238E27FC236}">
                  <a16:creationId xmlns:a16="http://schemas.microsoft.com/office/drawing/2014/main" id="{00000000-0008-0000-0300-00004F000000}"/>
                </a:ext>
              </a:extLst>
            </xdr:cNvPr>
            <xdr:cNvSpPr txBox="1"/>
          </xdr:nvSpPr>
          <xdr:spPr>
            <a:xfrm>
              <a:off x="719136" y="29575125"/>
              <a:ext cx="1776413"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𝑙𝑡</m:t>
                      </m:r>
                    </m:sub>
                  </m:sSub>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𝛼</m:t>
                      </m:r>
                    </m:e>
                    <m:sub>
                      <m:r>
                        <a:rPr lang="en-US" sz="1100" b="0" i="1">
                          <a:latin typeface="Cambria Math"/>
                          <a:ea typeface="Cambria Math"/>
                        </a:rPr>
                        <m:t>𝑐𝑟</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sub>
                  </m:sSub>
                </m:oMath>
              </a14:m>
              <a:r>
                <a:rPr lang="en-US" sz="1100"/>
                <a:t>  </a:t>
              </a:r>
            </a:p>
          </xdr:txBody>
        </xdr:sp>
      </mc:Choice>
      <mc:Fallback xmlns="">
        <xdr:sp macro="" textlink="">
          <xdr:nvSpPr>
            <xdr:cNvPr id="79" name="TextBox 78"/>
            <xdr:cNvSpPr txBox="1"/>
          </xdr:nvSpPr>
          <xdr:spPr>
            <a:xfrm>
              <a:off x="719136" y="29575125"/>
              <a:ext cx="1776413"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i="0">
                  <a:latin typeface="Cambria Math"/>
                  <a:ea typeface="Cambria Math"/>
                </a:rPr>
                <a:t>𝛿_</a:t>
              </a:r>
              <a:r>
                <a:rPr lang="en-US" sz="1100" b="0" i="0">
                  <a:latin typeface="Cambria Math"/>
                  <a:ea typeface="Cambria Math"/>
                </a:rPr>
                <a:t>𝑙𝑡= 𝛿_𝑑+𝛼_𝑐𝑟 𝛿_𝑑</a:t>
              </a:r>
              <a:r>
                <a:rPr lang="en-US" sz="1100"/>
                <a:t>  </a:t>
              </a:r>
            </a:p>
          </xdr:txBody>
        </xdr:sp>
      </mc:Fallback>
    </mc:AlternateContent>
    <xdr:clientData/>
  </xdr:oneCellAnchor>
  <xdr:oneCellAnchor>
    <xdr:from>
      <xdr:col>3</xdr:col>
      <xdr:colOff>71437</xdr:colOff>
      <xdr:row>41</xdr:row>
      <xdr:rowOff>114300</xdr:rowOff>
    </xdr:from>
    <xdr:ext cx="747713" cy="264560"/>
    <mc:AlternateContent xmlns:mc="http://schemas.openxmlformats.org/markup-compatibility/2006" xmlns:a14="http://schemas.microsoft.com/office/drawing/2010/main">
      <mc:Choice Requires="a14">
        <xdr:sp macro="" textlink="">
          <xdr:nvSpPr>
            <xdr:cNvPr id="81" name="TextBox 80">
              <a:extLst>
                <a:ext uri="{FF2B5EF4-FFF2-40B4-BE49-F238E27FC236}">
                  <a16:creationId xmlns:a16="http://schemas.microsoft.com/office/drawing/2014/main" id="{00000000-0008-0000-0300-000051000000}"/>
                </a:ext>
              </a:extLst>
            </xdr:cNvPr>
            <xdr:cNvSpPr txBox="1"/>
          </xdr:nvSpPr>
          <xdr:spPr>
            <a:xfrm>
              <a:off x="1824037" y="7029450"/>
              <a:ext cx="7477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𝛼</m:t>
                        </m:r>
                      </m:e>
                      <m:sub>
                        <m:r>
                          <a:rPr lang="en-US" sz="1100" b="0" i="1">
                            <a:latin typeface="Cambria Math"/>
                          </a:rPr>
                          <m:t>𝑐𝑟</m:t>
                        </m:r>
                      </m:sub>
                    </m:sSub>
                    <m:r>
                      <a:rPr lang="en-US" sz="1100" b="0" i="1">
                        <a:latin typeface="Cambria Math"/>
                      </a:rPr>
                      <m:t>=</m:t>
                    </m:r>
                  </m:oMath>
                </m:oMathPara>
              </a14:m>
              <a:endParaRPr lang="en-US" sz="1100"/>
            </a:p>
          </xdr:txBody>
        </xdr:sp>
      </mc:Choice>
      <mc:Fallback xmlns="">
        <xdr:sp macro="" textlink="">
          <xdr:nvSpPr>
            <xdr:cNvPr id="81" name="TextBox 80"/>
            <xdr:cNvSpPr txBox="1"/>
          </xdr:nvSpPr>
          <xdr:spPr>
            <a:xfrm>
              <a:off x="1824037" y="7029450"/>
              <a:ext cx="7477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𝛼_</a:t>
              </a:r>
              <a:r>
                <a:rPr lang="en-US" sz="1100" b="0" i="0">
                  <a:latin typeface="Cambria Math"/>
                </a:rPr>
                <a:t>𝑐𝑟=</a:t>
              </a:r>
              <a:endParaRPr lang="en-US" sz="1100"/>
            </a:p>
          </xdr:txBody>
        </xdr:sp>
      </mc:Fallback>
    </mc:AlternateContent>
    <xdr:clientData/>
  </xdr:oneCellAnchor>
  <xdr:oneCellAnchor>
    <xdr:from>
      <xdr:col>0</xdr:col>
      <xdr:colOff>342900</xdr:colOff>
      <xdr:row>186</xdr:row>
      <xdr:rowOff>28575</xdr:rowOff>
    </xdr:from>
    <xdr:ext cx="1790700" cy="440377"/>
    <mc:AlternateContent xmlns:mc="http://schemas.openxmlformats.org/markup-compatibility/2006" xmlns:a14="http://schemas.microsoft.com/office/drawing/2010/main">
      <mc:Choice Requires="a14">
        <xdr:sp macro="" textlink="">
          <xdr:nvSpPr>
            <xdr:cNvPr id="82" name="TextBox 81">
              <a:extLst>
                <a:ext uri="{FF2B5EF4-FFF2-40B4-BE49-F238E27FC236}">
                  <a16:creationId xmlns:a16="http://schemas.microsoft.com/office/drawing/2014/main" id="{00000000-0008-0000-0300-000052000000}"/>
                </a:ext>
              </a:extLst>
            </xdr:cNvPr>
            <xdr:cNvSpPr txBox="1"/>
          </xdr:nvSpPr>
          <xdr:spPr>
            <a:xfrm>
              <a:off x="342900" y="2586990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𝑀</m:t>
                        </m:r>
                      </m:e>
                      <m:sub>
                        <m:r>
                          <a:rPr lang="en-US" sz="1100" b="0" i="1">
                            <a:latin typeface="Cambria Math"/>
                          </a:rPr>
                          <m:t>𝑠</m:t>
                        </m:r>
                      </m:sub>
                    </m:sSub>
                    <m:r>
                      <a:rPr lang="en-US" sz="1100" b="0" i="1">
                        <a:latin typeface="Cambria Math"/>
                      </a:rPr>
                      <m:t>=</m:t>
                    </m:r>
                    <m:d>
                      <m:dPr>
                        <m:ctrlPr>
                          <a:rPr lang="en-US" sz="1100" b="0" i="1">
                            <a:latin typeface="Cambria Math" panose="02040503050406030204" pitchFamily="18" charset="0"/>
                          </a:rPr>
                        </m:ctrlPr>
                      </m:dPr>
                      <m:e>
                        <m:r>
                          <a:rPr lang="en-US" sz="1100" b="0" i="1">
                            <a:latin typeface="Cambria Math"/>
                          </a:rPr>
                          <m:t>0.5</m:t>
                        </m:r>
                        <m:sSub>
                          <m:sSubPr>
                            <m:ctrlPr>
                              <a:rPr lang="en-US" sz="1100" b="0" i="1">
                                <a:latin typeface="Cambria Math" panose="02040503050406030204" pitchFamily="18" charset="0"/>
                              </a:rPr>
                            </m:ctrlPr>
                          </m:sSubPr>
                          <m:e>
                            <m:r>
                              <a:rPr lang="en-US" sz="1100" b="0" i="1">
                                <a:latin typeface="Cambria Math"/>
                              </a:rPr>
                              <m:t>𝐸</m:t>
                            </m:r>
                          </m:e>
                          <m:sub>
                            <m:r>
                              <a:rPr lang="en-US" sz="1100" b="0" i="1">
                                <a:latin typeface="Cambria Math"/>
                              </a:rPr>
                              <m:t>𝑐</m:t>
                            </m:r>
                          </m:sub>
                        </m:sSub>
                        <m:r>
                          <a:rPr lang="en-US" sz="1100" b="0" i="1">
                            <a:latin typeface="Cambria Math"/>
                          </a:rPr>
                          <m:t>𝐼</m:t>
                        </m:r>
                      </m:e>
                    </m:d>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𝑠</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oMath>
                </m:oMathPara>
              </a14:m>
              <a:endParaRPr lang="en-US" sz="1100"/>
            </a:p>
          </xdr:txBody>
        </xdr:sp>
      </mc:Choice>
      <mc:Fallback xmlns="">
        <xdr:sp macro="" textlink="">
          <xdr:nvSpPr>
            <xdr:cNvPr id="82" name="TextBox 81"/>
            <xdr:cNvSpPr txBox="1"/>
          </xdr:nvSpPr>
          <xdr:spPr>
            <a:xfrm>
              <a:off x="342900" y="2586990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𝑀_𝑠=(0.5𝐸_𝑐 𝐼)  </a:t>
              </a:r>
              <a:r>
                <a:rPr lang="en-US" sz="1100" b="0" i="0">
                  <a:latin typeface="Cambria Math"/>
                  <a:ea typeface="Cambria Math"/>
                </a:rPr>
                <a:t>𝜃_𝑠/</a:t>
              </a:r>
              <a:r>
                <a:rPr lang="en-US" sz="1100" b="0" i="0">
                  <a:latin typeface="Cambria Math"/>
                </a:rPr>
                <a:t>ℎ_𝑟𝑡 </a:t>
              </a:r>
              <a:endParaRPr lang="en-US" sz="1100"/>
            </a:p>
          </xdr:txBody>
        </xdr:sp>
      </mc:Fallback>
    </mc:AlternateContent>
    <xdr:clientData/>
  </xdr:oneCellAnchor>
  <xdr:oneCellAnchor>
    <xdr:from>
      <xdr:col>1</xdr:col>
      <xdr:colOff>400049</xdr:colOff>
      <xdr:row>189</xdr:row>
      <xdr:rowOff>95250</xdr:rowOff>
    </xdr:from>
    <xdr:ext cx="1333501" cy="279435"/>
    <mc:AlternateContent xmlns:mc="http://schemas.openxmlformats.org/markup-compatibility/2006" xmlns:a14="http://schemas.microsoft.com/office/drawing/2010/main">
      <mc:Choice Requires="a14">
        <xdr:sp macro="" textlink="">
          <xdr:nvSpPr>
            <xdr:cNvPr id="83" name="TextBox 82">
              <a:extLst>
                <a:ext uri="{FF2B5EF4-FFF2-40B4-BE49-F238E27FC236}">
                  <a16:creationId xmlns:a16="http://schemas.microsoft.com/office/drawing/2014/main" id="{00000000-0008-0000-0300-000053000000}"/>
                </a:ext>
              </a:extLst>
            </xdr:cNvPr>
            <xdr:cNvSpPr txBox="1"/>
          </xdr:nvSpPr>
          <xdr:spPr>
            <a:xfrm>
              <a:off x="904874" y="31261050"/>
              <a:ext cx="1333501" cy="279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𝐸</m:t>
                        </m:r>
                      </m:e>
                      <m:sub>
                        <m:r>
                          <a:rPr lang="en-US" sz="1100" b="0" i="1">
                            <a:latin typeface="Cambria Math"/>
                          </a:rPr>
                          <m:t>𝑐</m:t>
                        </m:r>
                      </m:sub>
                    </m:sSub>
                    <m:r>
                      <a:rPr lang="en-US" sz="1100" b="0" i="1">
                        <a:latin typeface="Cambria Math"/>
                      </a:rPr>
                      <m:t>=4.8</m:t>
                    </m:r>
                    <m:sSub>
                      <m:sSubPr>
                        <m:ctrlPr>
                          <a:rPr lang="en-US" sz="1100" b="0" i="1">
                            <a:latin typeface="Cambria Math" panose="02040503050406030204" pitchFamily="18" charset="0"/>
                          </a:rPr>
                        </m:ctrlPr>
                      </m:sSubPr>
                      <m:e>
                        <m:r>
                          <a:rPr lang="en-US" sz="1100" b="0" i="1">
                            <a:latin typeface="Cambria Math"/>
                          </a:rPr>
                          <m:t>𝐺</m:t>
                        </m:r>
                      </m:e>
                      <m:sub>
                        <m:r>
                          <a:rPr lang="en-US" sz="1100" b="0" i="1">
                            <a:latin typeface="Cambria Math"/>
                          </a:rPr>
                          <m:t>𝑚𝑎𝑥</m:t>
                        </m:r>
                      </m:sub>
                    </m:sSub>
                    <m:sSup>
                      <m:sSupPr>
                        <m:ctrlPr>
                          <a:rPr lang="en-US" sz="1100" b="0" i="1">
                            <a:latin typeface="Cambria Math" panose="02040503050406030204" pitchFamily="18" charset="0"/>
                          </a:rPr>
                        </m:ctrlPr>
                      </m:sSupPr>
                      <m:e>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e>
                      <m:sup>
                        <m:r>
                          <a:rPr lang="en-US" sz="1100" b="0" i="1">
                            <a:latin typeface="Cambria Math"/>
                          </a:rPr>
                          <m:t>2</m:t>
                        </m:r>
                      </m:sup>
                    </m:sSup>
                    <m:r>
                      <a:rPr lang="en-US" sz="1100" b="0" i="0">
                        <a:latin typeface="Cambria Math"/>
                      </a:rPr>
                      <m:t>=</m:t>
                    </m:r>
                  </m:oMath>
                </m:oMathPara>
              </a14:m>
              <a:endParaRPr lang="en-US" sz="1100"/>
            </a:p>
          </xdr:txBody>
        </xdr:sp>
      </mc:Choice>
      <mc:Fallback xmlns="">
        <xdr:sp macro="" textlink="">
          <xdr:nvSpPr>
            <xdr:cNvPr id="83" name="TextBox 82">
              <a:extLst>
                <a:ext uri="{FF2B5EF4-FFF2-40B4-BE49-F238E27FC236}">
                  <a16:creationId xmlns:a16="http://schemas.microsoft.com/office/drawing/2014/main" xmlns:a14="http://schemas.microsoft.com/office/drawing/2010/main" xmlns="" id="{00000000-0008-0000-0300-000053000000}"/>
                </a:ext>
              </a:extLst>
            </xdr:cNvPr>
            <xdr:cNvSpPr txBox="1"/>
          </xdr:nvSpPr>
          <xdr:spPr>
            <a:xfrm>
              <a:off x="904874" y="31261050"/>
              <a:ext cx="1333501" cy="279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𝐸_𝑐=4.8𝐺_𝑚𝑎𝑥 〖𝑆_𝑖〗^2=</a:t>
              </a:r>
              <a:endParaRPr lang="en-US" sz="1100"/>
            </a:p>
          </xdr:txBody>
        </xdr:sp>
      </mc:Fallback>
    </mc:AlternateContent>
    <xdr:clientData/>
  </xdr:oneCellAnchor>
  <xdr:oneCellAnchor>
    <xdr:from>
      <xdr:col>1</xdr:col>
      <xdr:colOff>390525</xdr:colOff>
      <xdr:row>191</xdr:row>
      <xdr:rowOff>19050</xdr:rowOff>
    </xdr:from>
    <xdr:ext cx="914400" cy="445891"/>
    <mc:AlternateContent xmlns:mc="http://schemas.openxmlformats.org/markup-compatibility/2006" xmlns:a14="http://schemas.microsoft.com/office/drawing/2010/main">
      <mc:Choice Requires="a14">
        <xdr:sp macro="" textlink="">
          <xdr:nvSpPr>
            <xdr:cNvPr id="84" name="TextBox 83">
              <a:extLst>
                <a:ext uri="{FF2B5EF4-FFF2-40B4-BE49-F238E27FC236}">
                  <a16:creationId xmlns:a16="http://schemas.microsoft.com/office/drawing/2014/main" id="{00000000-0008-0000-0300-000054000000}"/>
                </a:ext>
              </a:extLst>
            </xdr:cNvPr>
            <xdr:cNvSpPr txBox="1"/>
          </xdr:nvSpPr>
          <xdr:spPr>
            <a:xfrm>
              <a:off x="895350" y="31508700"/>
              <a:ext cx="914400" cy="445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𝐼</m:t>
                    </m:r>
                    <m:r>
                      <a:rPr lang="en-US" sz="1100" b="0" i="1">
                        <a:latin typeface="Cambria Math"/>
                      </a:rPr>
                      <m:t>=</m:t>
                    </m:r>
                    <m:f>
                      <m:fPr>
                        <m:ctrlPr>
                          <a:rPr lang="en-US" sz="1100" b="0" i="1">
                            <a:latin typeface="Cambria Math" panose="02040503050406030204" pitchFamily="18" charset="0"/>
                          </a:rPr>
                        </m:ctrlPr>
                      </m:fPr>
                      <m:num>
                        <m:r>
                          <a:rPr lang="en-US" sz="1100" b="0" i="1">
                            <a:latin typeface="Cambria Math"/>
                          </a:rPr>
                          <m:t>𝑊</m:t>
                        </m:r>
                        <m:sSup>
                          <m:sSupPr>
                            <m:ctrlPr>
                              <a:rPr lang="en-US" sz="1100" b="0" i="1">
                                <a:latin typeface="Cambria Math" panose="02040503050406030204" pitchFamily="18" charset="0"/>
                              </a:rPr>
                            </m:ctrlPr>
                          </m:sSupPr>
                          <m:e>
                            <m:r>
                              <a:rPr lang="en-US" sz="1100" b="0" i="1">
                                <a:latin typeface="Cambria Math"/>
                              </a:rPr>
                              <m:t>𝐿</m:t>
                            </m:r>
                          </m:e>
                          <m:sup>
                            <m:r>
                              <a:rPr lang="en-US" sz="1100" b="0" i="1">
                                <a:latin typeface="Cambria Math"/>
                              </a:rPr>
                              <m:t>3</m:t>
                            </m:r>
                          </m:sup>
                        </m:sSup>
                      </m:num>
                      <m:den>
                        <m:r>
                          <a:rPr lang="en-US" sz="1100" b="0" i="1">
                            <a:latin typeface="Cambria Math"/>
                          </a:rPr>
                          <m:t>12</m:t>
                        </m:r>
                      </m:den>
                    </m:f>
                    <m:r>
                      <a:rPr lang="en-US" sz="1100" b="0" i="1">
                        <a:latin typeface="Cambria Math"/>
                      </a:rPr>
                      <m:t>=</m:t>
                    </m:r>
                  </m:oMath>
                </m:oMathPara>
              </a14:m>
              <a:endParaRPr lang="en-US" sz="1100"/>
            </a:p>
          </xdr:txBody>
        </xdr:sp>
      </mc:Choice>
      <mc:Fallback xmlns="">
        <xdr:sp macro="" textlink="">
          <xdr:nvSpPr>
            <xdr:cNvPr id="84" name="TextBox 83"/>
            <xdr:cNvSpPr txBox="1"/>
          </xdr:nvSpPr>
          <xdr:spPr>
            <a:xfrm>
              <a:off x="895350" y="31508700"/>
              <a:ext cx="914400" cy="445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𝐼=(𝑊𝐿^3)/12=</a:t>
              </a:r>
              <a:endParaRPr lang="en-US" sz="1100"/>
            </a:p>
          </xdr:txBody>
        </xdr:sp>
      </mc:Fallback>
    </mc:AlternateContent>
    <xdr:clientData/>
  </xdr:oneCellAnchor>
  <xdr:oneCellAnchor>
    <xdr:from>
      <xdr:col>1</xdr:col>
      <xdr:colOff>447674</xdr:colOff>
      <xdr:row>193</xdr:row>
      <xdr:rowOff>114300</xdr:rowOff>
    </xdr:from>
    <xdr:ext cx="1895476" cy="264560"/>
    <mc:AlternateContent xmlns:mc="http://schemas.openxmlformats.org/markup-compatibility/2006" xmlns:a14="http://schemas.microsoft.com/office/drawing/2010/main">
      <mc:Choice Requires="a14">
        <xdr:sp macro="" textlink="">
          <xdr:nvSpPr>
            <xdr:cNvPr id="85" name="TextBox 84">
              <a:extLst>
                <a:ext uri="{FF2B5EF4-FFF2-40B4-BE49-F238E27FC236}">
                  <a16:creationId xmlns:a16="http://schemas.microsoft.com/office/drawing/2014/main" id="{00000000-0008-0000-0300-000055000000}"/>
                </a:ext>
              </a:extLst>
            </xdr:cNvPr>
            <xdr:cNvSpPr txBox="1"/>
          </xdr:nvSpPr>
          <xdr:spPr>
            <a:xfrm>
              <a:off x="952499" y="32089725"/>
              <a:ext cx="18954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ea typeface="Cambria Math"/>
                        </a:rPr>
                        <m:t>𝑠</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𝑑</m:t>
                      </m:r>
                    </m:sub>
                  </m:sSub>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𝑟</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𝜃</m:t>
                      </m:r>
                    </m:e>
                    <m:sub>
                      <m:r>
                        <a:rPr lang="en-US" sz="1100" b="0" i="1">
                          <a:solidFill>
                            <a:schemeClr val="tx1"/>
                          </a:solidFill>
                          <a:effectLst/>
                          <a:latin typeface="Cambria Math"/>
                          <a:ea typeface="+mn-ea"/>
                          <a:cs typeface="+mn-cs"/>
                        </a:rPr>
                        <m:t>𝐿</m:t>
                      </m:r>
                    </m:sub>
                  </m:sSub>
                  <m:r>
                    <a:rPr lang="en-US" sz="1100" b="0" i="0">
                      <a:solidFill>
                        <a:schemeClr val="tx1"/>
                      </a:solidFill>
                      <a:effectLst/>
                      <a:latin typeface="Cambria Math"/>
                      <a:ea typeface="+mn-ea"/>
                      <a:cs typeface="+mn-cs"/>
                    </a:rPr>
                    <m:t>=</m:t>
                  </m:r>
                </m:oMath>
              </a14:m>
              <a:endParaRPr lang="en-US" sz="1100"/>
            </a:p>
          </xdr:txBody>
        </xdr:sp>
      </mc:Choice>
      <mc:Fallback xmlns="">
        <xdr:sp macro="" textlink="">
          <xdr:nvSpPr>
            <xdr:cNvPr id="85" name="TextBox 84">
              <a:extLst>
                <a:ext uri="{FF2B5EF4-FFF2-40B4-BE49-F238E27FC236}">
                  <a16:creationId xmlns:a16="http://schemas.microsoft.com/office/drawing/2014/main" xmlns:a14="http://schemas.microsoft.com/office/drawing/2010/main" xmlns="" id="{00000000-0008-0000-0300-000055000000}"/>
                </a:ext>
              </a:extLst>
            </xdr:cNvPr>
            <xdr:cNvSpPr txBox="1"/>
          </xdr:nvSpPr>
          <xdr:spPr>
            <a:xfrm>
              <a:off x="952499" y="32089725"/>
              <a:ext cx="18954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ea typeface="Cambria Math"/>
                </a:rPr>
                <a:t>𝑠</a:t>
              </a:r>
              <a:r>
                <a:rPr lang="en-US" sz="1100" b="0" i="0">
                  <a:latin typeface="Cambria Math"/>
                </a:rPr>
                <a:t>=</a:t>
              </a:r>
              <a:r>
                <a:rPr lang="en-US" sz="1100" b="0" i="0">
                  <a:latin typeface="Cambria Math"/>
                  <a:ea typeface="Cambria Math"/>
                </a:rPr>
                <a:t>𝜃_𝑑</a:t>
              </a:r>
              <a:r>
                <a:rPr lang="en-US" sz="1100"/>
                <a:t>+ </a:t>
              </a:r>
              <a:r>
                <a:rPr lang="en-US" sz="1100" b="0" i="0">
                  <a:solidFill>
                    <a:schemeClr val="tx1"/>
                  </a:solidFill>
                  <a:effectLst/>
                  <a:latin typeface="Cambria Math"/>
                  <a:ea typeface="+mn-ea"/>
                  <a:cs typeface="+mn-cs"/>
                </a:rPr>
                <a:t>𝜃_𝑟+</a:t>
              </a:r>
              <a:r>
                <a:rPr lang="en-US" sz="1100" b="0" i="0">
                  <a:solidFill>
                    <a:schemeClr val="tx1"/>
                  </a:solidFill>
                  <a:effectLst/>
                  <a:latin typeface="Cambria Math"/>
                  <a:ea typeface="Cambria Math"/>
                  <a:cs typeface="+mn-cs"/>
                </a:rPr>
                <a:t>𝜃</a:t>
              </a:r>
              <a:r>
                <a:rPr lang="en-US" sz="1100" b="0" i="0">
                  <a:solidFill>
                    <a:schemeClr val="tx1"/>
                  </a:solidFill>
                  <a:effectLst/>
                  <a:latin typeface="Cambria Math"/>
                  <a:ea typeface="+mn-ea"/>
                  <a:cs typeface="+mn-cs"/>
                </a:rPr>
                <a:t>_𝐿=</a:t>
              </a:r>
              <a:endParaRPr lang="en-US" sz="1100"/>
            </a:p>
          </xdr:txBody>
        </xdr:sp>
      </mc:Fallback>
    </mc:AlternateContent>
    <xdr:clientData/>
  </xdr:oneCellAnchor>
  <xdr:oneCellAnchor>
    <xdr:from>
      <xdr:col>0</xdr:col>
      <xdr:colOff>361950</xdr:colOff>
      <xdr:row>196</xdr:row>
      <xdr:rowOff>28575</xdr:rowOff>
    </xdr:from>
    <xdr:ext cx="1790700" cy="440377"/>
    <mc:AlternateContent xmlns:mc="http://schemas.openxmlformats.org/markup-compatibility/2006" xmlns:a14="http://schemas.microsoft.com/office/drawing/2010/main">
      <mc:Choice Requires="a14">
        <xdr:sp macro="" textlink="">
          <xdr:nvSpPr>
            <xdr:cNvPr id="86" name="TextBox 85">
              <a:extLst>
                <a:ext uri="{FF2B5EF4-FFF2-40B4-BE49-F238E27FC236}">
                  <a16:creationId xmlns:a16="http://schemas.microsoft.com/office/drawing/2014/main" id="{00000000-0008-0000-0300-000056000000}"/>
                </a:ext>
              </a:extLst>
            </xdr:cNvPr>
            <xdr:cNvSpPr txBox="1"/>
          </xdr:nvSpPr>
          <xdr:spPr>
            <a:xfrm>
              <a:off x="361950" y="2748915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𝑀</m:t>
                        </m:r>
                      </m:e>
                      <m:sub>
                        <m:r>
                          <a:rPr lang="en-US" sz="1100" b="0" i="1">
                            <a:latin typeface="Cambria Math"/>
                          </a:rPr>
                          <m:t>𝑠</m:t>
                        </m:r>
                      </m:sub>
                    </m:sSub>
                    <m:r>
                      <a:rPr lang="en-US" sz="1100" b="0" i="1">
                        <a:latin typeface="Cambria Math"/>
                      </a:rPr>
                      <m:t>=</m:t>
                    </m:r>
                    <m:d>
                      <m:dPr>
                        <m:ctrlPr>
                          <a:rPr lang="en-US" sz="1100" b="0" i="1">
                            <a:latin typeface="Cambria Math" panose="02040503050406030204" pitchFamily="18" charset="0"/>
                          </a:rPr>
                        </m:ctrlPr>
                      </m:dPr>
                      <m:e>
                        <m:r>
                          <a:rPr lang="en-US" sz="1100" b="0" i="1">
                            <a:latin typeface="Cambria Math"/>
                          </a:rPr>
                          <m:t>0.5</m:t>
                        </m:r>
                        <m:sSub>
                          <m:sSubPr>
                            <m:ctrlPr>
                              <a:rPr lang="en-US" sz="1100" b="0" i="1">
                                <a:latin typeface="Cambria Math" panose="02040503050406030204" pitchFamily="18" charset="0"/>
                              </a:rPr>
                            </m:ctrlPr>
                          </m:sSubPr>
                          <m:e>
                            <m:r>
                              <a:rPr lang="en-US" sz="1100" b="0" i="1">
                                <a:latin typeface="Cambria Math"/>
                              </a:rPr>
                              <m:t>𝐸</m:t>
                            </m:r>
                          </m:e>
                          <m:sub>
                            <m:r>
                              <a:rPr lang="en-US" sz="1100" b="0" i="1">
                                <a:latin typeface="Cambria Math"/>
                              </a:rPr>
                              <m:t>𝑐</m:t>
                            </m:r>
                          </m:sub>
                        </m:sSub>
                        <m:r>
                          <a:rPr lang="en-US" sz="1100" b="0" i="1">
                            <a:latin typeface="Cambria Math"/>
                          </a:rPr>
                          <m:t>𝐼</m:t>
                        </m:r>
                      </m:e>
                    </m:d>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𝑠</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r>
                      <a:rPr lang="en-US" sz="1100" b="0" i="1">
                        <a:latin typeface="Cambria Math"/>
                      </a:rPr>
                      <m:t>=</m:t>
                    </m:r>
                  </m:oMath>
                </m:oMathPara>
              </a14:m>
              <a:endParaRPr lang="en-US" sz="1100"/>
            </a:p>
          </xdr:txBody>
        </xdr:sp>
      </mc:Choice>
      <mc:Fallback xmlns="">
        <xdr:sp macro="" textlink="">
          <xdr:nvSpPr>
            <xdr:cNvPr id="86" name="TextBox 85"/>
            <xdr:cNvSpPr txBox="1"/>
          </xdr:nvSpPr>
          <xdr:spPr>
            <a:xfrm>
              <a:off x="361950" y="2748915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𝑀_𝑠=(0.5𝐸_𝑐 𝐼)  </a:t>
              </a:r>
              <a:r>
                <a:rPr lang="en-US" sz="1100" b="0" i="0">
                  <a:latin typeface="Cambria Math"/>
                  <a:ea typeface="Cambria Math"/>
                </a:rPr>
                <a:t>𝜃_𝑠/</a:t>
              </a:r>
              <a:r>
                <a:rPr lang="en-US" sz="1100" b="0" i="0">
                  <a:latin typeface="Cambria Math"/>
                </a:rPr>
                <a:t>ℎ_𝑟𝑡 =</a:t>
              </a:r>
              <a:endParaRPr lang="en-US" sz="1100"/>
            </a:p>
          </xdr:txBody>
        </xdr:sp>
      </mc:Fallback>
    </mc:AlternateContent>
    <xdr:clientData/>
  </xdr:oneCellAnchor>
  <xdr:oneCellAnchor>
    <xdr:from>
      <xdr:col>0</xdr:col>
      <xdr:colOff>376238</xdr:colOff>
      <xdr:row>199</xdr:row>
      <xdr:rowOff>0</xdr:rowOff>
    </xdr:from>
    <xdr:ext cx="1852612" cy="437749"/>
    <mc:AlternateContent xmlns:mc="http://schemas.openxmlformats.org/markup-compatibility/2006" xmlns:a14="http://schemas.microsoft.com/office/drawing/2010/main">
      <mc:Choice Requires="a14">
        <xdr:sp macro="" textlink="">
          <xdr:nvSpPr>
            <xdr:cNvPr id="87" name="TextBox 86">
              <a:extLst>
                <a:ext uri="{FF2B5EF4-FFF2-40B4-BE49-F238E27FC236}">
                  <a16:creationId xmlns:a16="http://schemas.microsoft.com/office/drawing/2014/main" id="{00000000-0008-0000-0300-000057000000}"/>
                </a:ext>
              </a:extLst>
            </xdr:cNvPr>
            <xdr:cNvSpPr txBox="1"/>
          </xdr:nvSpPr>
          <xdr:spPr>
            <a:xfrm>
              <a:off x="376238" y="29241750"/>
              <a:ext cx="1852612" cy="437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r>
                          <a:rPr lang="en-US" sz="1100" b="0" i="1">
                            <a:latin typeface="Cambria Math"/>
                            <a:ea typeface="Cambria Math"/>
                          </a:rPr>
                          <m:t>,</m:t>
                        </m:r>
                        <m:r>
                          <a:rPr lang="en-US" sz="1100" b="0" i="1">
                            <a:latin typeface="Cambria Math"/>
                            <a:ea typeface="Cambria Math"/>
                          </a:rPr>
                          <m:t>𝑒𝑑𝑔𝑒</m:t>
                        </m:r>
                      </m:sub>
                    </m:sSub>
                    <m:r>
                      <a:rPr lang="en-US" sz="1100" b="0" i="1">
                        <a:latin typeface="Cambria Math"/>
                        <a:ea typeface="Cambria Math"/>
                      </a:rPr>
                      <m:t> = </m:t>
                    </m:r>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𝑀</m:t>
                            </m:r>
                          </m:e>
                          <m:sub>
                            <m:r>
                              <a:rPr lang="en-US" sz="1100" b="0" i="1">
                                <a:latin typeface="Cambria Math"/>
                                <a:ea typeface="Cambria Math"/>
                              </a:rPr>
                              <m:t>𝑠</m:t>
                            </m:r>
                          </m:sub>
                        </m:sSub>
                      </m:num>
                      <m:den>
                        <m:r>
                          <a:rPr lang="en-US" sz="1100" b="0" i="1">
                            <a:latin typeface="Cambria Math"/>
                            <a:ea typeface="Cambria Math"/>
                          </a:rPr>
                          <m:t>1/6</m:t>
                        </m:r>
                        <m:r>
                          <a:rPr lang="en-US" sz="1100" b="0" i="1">
                            <a:latin typeface="Cambria Math"/>
                            <a:ea typeface="Cambria Math"/>
                          </a:rPr>
                          <m:t>𝑊</m:t>
                        </m:r>
                        <m:sSup>
                          <m:sSupPr>
                            <m:ctrlPr>
                              <a:rPr lang="en-US" sz="1100" b="0" i="1">
                                <a:latin typeface="Cambria Math" panose="02040503050406030204" pitchFamily="18" charset="0"/>
                                <a:ea typeface="Cambria Math"/>
                              </a:rPr>
                            </m:ctrlPr>
                          </m:sSupPr>
                          <m:e>
                            <m:r>
                              <a:rPr lang="en-US" sz="1100" b="0" i="1">
                                <a:latin typeface="Cambria Math"/>
                                <a:ea typeface="Cambria Math"/>
                              </a:rPr>
                              <m:t>𝐿</m:t>
                            </m:r>
                          </m:e>
                          <m:sup>
                            <m:r>
                              <a:rPr lang="en-US" sz="1100" b="0" i="1">
                                <a:latin typeface="Cambria Math"/>
                                <a:ea typeface="Cambria Math"/>
                              </a:rPr>
                              <m:t>2</m:t>
                            </m:r>
                          </m:sup>
                        </m:sSup>
                      </m:den>
                    </m:f>
                    <m:r>
                      <a:rPr lang="en-US" sz="1100" b="0" i="1">
                        <a:latin typeface="Cambria Math"/>
                        <a:ea typeface="Cambria Math"/>
                      </a:rPr>
                      <m:t> =</m:t>
                    </m:r>
                  </m:oMath>
                </m:oMathPara>
              </a14:m>
              <a:endParaRPr lang="en-US" sz="1100"/>
            </a:p>
          </xdr:txBody>
        </xdr:sp>
      </mc:Choice>
      <mc:Fallback xmlns="">
        <xdr:sp macro="" textlink="">
          <xdr:nvSpPr>
            <xdr:cNvPr id="87" name="TextBox 86"/>
            <xdr:cNvSpPr txBox="1"/>
          </xdr:nvSpPr>
          <xdr:spPr>
            <a:xfrm>
              <a:off x="376238" y="29241750"/>
              <a:ext cx="1852612" cy="437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𝑠,𝑒𝑑𝑔𝑒)  = 𝜎_𝑠+𝑀_𝑠/(1/6𝑊𝐿^2 )  =</a:t>
              </a:r>
              <a:endParaRPr lang="en-US" sz="1100"/>
            </a:p>
          </xdr:txBody>
        </xdr:sp>
      </mc:Fallback>
    </mc:AlternateContent>
    <xdr:clientData/>
  </xdr:oneCellAnchor>
  <xdr:oneCellAnchor>
    <xdr:from>
      <xdr:col>2</xdr:col>
      <xdr:colOff>23813</xdr:colOff>
      <xdr:row>177</xdr:row>
      <xdr:rowOff>123825</xdr:rowOff>
    </xdr:from>
    <xdr:ext cx="795337" cy="264560"/>
    <mc:AlternateContent xmlns:mc="http://schemas.openxmlformats.org/markup-compatibility/2006" xmlns:a14="http://schemas.microsoft.com/office/drawing/2010/main">
      <mc:Choice Requires="a14">
        <xdr:sp macro="" textlink="">
          <xdr:nvSpPr>
            <xdr:cNvPr id="89" name="TextBox 88">
              <a:extLst>
                <a:ext uri="{FF2B5EF4-FFF2-40B4-BE49-F238E27FC236}">
                  <a16:creationId xmlns:a16="http://schemas.microsoft.com/office/drawing/2014/main" id="{00000000-0008-0000-0300-000059000000}"/>
                </a:ext>
              </a:extLst>
            </xdr:cNvPr>
            <xdr:cNvSpPr txBox="1"/>
          </xdr:nvSpPr>
          <xdr:spPr>
            <a:xfrm>
              <a:off x="1033463" y="2564130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m:t>
                    </m:r>
                  </m:oMath>
                </m:oMathPara>
              </a14:m>
              <a:endParaRPr lang="en-US" sz="1100"/>
            </a:p>
          </xdr:txBody>
        </xdr:sp>
      </mc:Choice>
      <mc:Fallback xmlns="">
        <xdr:sp macro="" textlink="">
          <xdr:nvSpPr>
            <xdr:cNvPr id="89" name="TextBox 88"/>
            <xdr:cNvSpPr txBox="1"/>
          </xdr:nvSpPr>
          <xdr:spPr>
            <a:xfrm>
              <a:off x="1033463" y="2564130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a:t>
              </a:r>
              <a:endParaRPr lang="en-US" sz="1100"/>
            </a:p>
          </xdr:txBody>
        </xdr:sp>
      </mc:Fallback>
    </mc:AlternateContent>
    <xdr:clientData/>
  </xdr:oneCellAnchor>
  <xdr:oneCellAnchor>
    <xdr:from>
      <xdr:col>4</xdr:col>
      <xdr:colOff>481013</xdr:colOff>
      <xdr:row>177</xdr:row>
      <xdr:rowOff>104775</xdr:rowOff>
    </xdr:from>
    <xdr:ext cx="795337" cy="264560"/>
    <mc:AlternateContent xmlns:mc="http://schemas.openxmlformats.org/markup-compatibility/2006" xmlns:a14="http://schemas.microsoft.com/office/drawing/2010/main">
      <mc:Choice Requires="a14">
        <xdr:sp macro="" textlink="">
          <xdr:nvSpPr>
            <xdr:cNvPr id="90" name="TextBox 89">
              <a:extLst>
                <a:ext uri="{FF2B5EF4-FFF2-40B4-BE49-F238E27FC236}">
                  <a16:creationId xmlns:a16="http://schemas.microsoft.com/office/drawing/2014/main" id="{00000000-0008-0000-0300-00005A000000}"/>
                </a:ext>
              </a:extLst>
            </xdr:cNvPr>
            <xdr:cNvSpPr txBox="1"/>
          </xdr:nvSpPr>
          <xdr:spPr>
            <a:xfrm>
              <a:off x="2805113" y="2562225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𝑆𝑎𝑙𝑙𝑜𝑤</m:t>
                        </m:r>
                      </m:sub>
                    </m:sSub>
                    <m:r>
                      <a:rPr lang="en-US" sz="1100" b="0" i="1">
                        <a:latin typeface="Cambria Math"/>
                        <a:ea typeface="Cambria Math"/>
                      </a:rPr>
                      <m:t> =</m:t>
                    </m:r>
                  </m:oMath>
                </m:oMathPara>
              </a14:m>
              <a:endParaRPr lang="en-US" sz="1100"/>
            </a:p>
          </xdr:txBody>
        </xdr:sp>
      </mc:Choice>
      <mc:Fallback xmlns="">
        <xdr:sp macro="" textlink="">
          <xdr:nvSpPr>
            <xdr:cNvPr id="90" name="TextBox 89"/>
            <xdr:cNvSpPr txBox="1"/>
          </xdr:nvSpPr>
          <xdr:spPr>
            <a:xfrm>
              <a:off x="2805113" y="2562225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𝑆𝑎𝑙𝑙𝑜𝑤  =</a:t>
              </a:r>
              <a:endParaRPr lang="en-US" sz="1100"/>
            </a:p>
          </xdr:txBody>
        </xdr:sp>
      </mc:Fallback>
    </mc:AlternateContent>
    <xdr:clientData/>
  </xdr:oneCellAnchor>
  <xdr:oneCellAnchor>
    <xdr:from>
      <xdr:col>2</xdr:col>
      <xdr:colOff>61913</xdr:colOff>
      <xdr:row>179</xdr:row>
      <xdr:rowOff>114300</xdr:rowOff>
    </xdr:from>
    <xdr:ext cx="795337" cy="264560"/>
    <mc:AlternateContent xmlns:mc="http://schemas.openxmlformats.org/markup-compatibility/2006" xmlns:a14="http://schemas.microsoft.com/office/drawing/2010/main">
      <mc:Choice Requires="a14">
        <xdr:sp macro="" textlink="">
          <xdr:nvSpPr>
            <xdr:cNvPr id="91" name="TextBox 90">
              <a:extLst>
                <a:ext uri="{FF2B5EF4-FFF2-40B4-BE49-F238E27FC236}">
                  <a16:creationId xmlns:a16="http://schemas.microsoft.com/office/drawing/2014/main" id="{00000000-0008-0000-0300-00005B000000}"/>
                </a:ext>
              </a:extLst>
            </xdr:cNvPr>
            <xdr:cNvSpPr txBox="1"/>
          </xdr:nvSpPr>
          <xdr:spPr>
            <a:xfrm>
              <a:off x="1071563" y="25955625"/>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 =</m:t>
                    </m:r>
                  </m:oMath>
                </m:oMathPara>
              </a14:m>
              <a:endParaRPr lang="en-US" sz="1100"/>
            </a:p>
          </xdr:txBody>
        </xdr:sp>
      </mc:Choice>
      <mc:Fallback xmlns="">
        <xdr:sp macro="" textlink="">
          <xdr:nvSpPr>
            <xdr:cNvPr id="91" name="TextBox 90"/>
            <xdr:cNvSpPr txBox="1"/>
          </xdr:nvSpPr>
          <xdr:spPr>
            <a:xfrm>
              <a:off x="1071563" y="25955625"/>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𝑑  =</a:t>
              </a:r>
              <a:endParaRPr lang="en-US" sz="1100"/>
            </a:p>
          </xdr:txBody>
        </xdr:sp>
      </mc:Fallback>
    </mc:AlternateContent>
    <xdr:clientData/>
  </xdr:oneCellAnchor>
  <xdr:oneCellAnchor>
    <xdr:from>
      <xdr:col>4</xdr:col>
      <xdr:colOff>442913</xdr:colOff>
      <xdr:row>179</xdr:row>
      <xdr:rowOff>95250</xdr:rowOff>
    </xdr:from>
    <xdr:ext cx="862012" cy="264560"/>
    <mc:AlternateContent xmlns:mc="http://schemas.openxmlformats.org/markup-compatibility/2006" xmlns:a14="http://schemas.microsoft.com/office/drawing/2010/main">
      <mc:Choice Requires="a14">
        <xdr:sp macro="" textlink="">
          <xdr:nvSpPr>
            <xdr:cNvPr id="92" name="TextBox 91">
              <a:extLst>
                <a:ext uri="{FF2B5EF4-FFF2-40B4-BE49-F238E27FC236}">
                  <a16:creationId xmlns:a16="http://schemas.microsoft.com/office/drawing/2014/main" id="{00000000-0008-0000-0300-00005C000000}"/>
                </a:ext>
              </a:extLst>
            </xdr:cNvPr>
            <xdr:cNvSpPr txBox="1"/>
          </xdr:nvSpPr>
          <xdr:spPr>
            <a:xfrm>
              <a:off x="2767013" y="25936575"/>
              <a:ext cx="8620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𝐷𝐿𝑎𝑙𝑙𝑜𝑤</m:t>
                        </m:r>
                      </m:sub>
                    </m:sSub>
                    <m:r>
                      <a:rPr lang="en-US" sz="1100" b="0" i="1">
                        <a:latin typeface="Cambria Math"/>
                        <a:ea typeface="Cambria Math"/>
                      </a:rPr>
                      <m:t> =</m:t>
                    </m:r>
                  </m:oMath>
                </m:oMathPara>
              </a14:m>
              <a:endParaRPr lang="en-US" sz="1100"/>
            </a:p>
          </xdr:txBody>
        </xdr:sp>
      </mc:Choice>
      <mc:Fallback xmlns="">
        <xdr:sp macro="" textlink="">
          <xdr:nvSpPr>
            <xdr:cNvPr id="92" name="TextBox 91"/>
            <xdr:cNvSpPr txBox="1"/>
          </xdr:nvSpPr>
          <xdr:spPr>
            <a:xfrm>
              <a:off x="2767013" y="25936575"/>
              <a:ext cx="8620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𝐷𝐿𝑎𝑙𝑙𝑜𝑤  =</a:t>
              </a:r>
              <a:endParaRPr lang="en-US" sz="1100"/>
            </a:p>
          </xdr:txBody>
        </xdr:sp>
      </mc:Fallback>
    </mc:AlternateContent>
    <xdr:clientData/>
  </xdr:oneCellAnchor>
  <xdr:oneCellAnchor>
    <xdr:from>
      <xdr:col>0</xdr:col>
      <xdr:colOff>342900</xdr:colOff>
      <xdr:row>202</xdr:row>
      <xdr:rowOff>28575</xdr:rowOff>
    </xdr:from>
    <xdr:ext cx="1790700" cy="440377"/>
    <mc:AlternateContent xmlns:mc="http://schemas.openxmlformats.org/markup-compatibility/2006" xmlns:a14="http://schemas.microsoft.com/office/drawing/2010/main">
      <mc:Choice Requires="a14">
        <xdr:sp macro="" textlink="">
          <xdr:nvSpPr>
            <xdr:cNvPr id="93" name="TextBox 92">
              <a:extLst>
                <a:ext uri="{FF2B5EF4-FFF2-40B4-BE49-F238E27FC236}">
                  <a16:creationId xmlns:a16="http://schemas.microsoft.com/office/drawing/2014/main" id="{00000000-0008-0000-0300-00005D000000}"/>
                </a:ext>
              </a:extLst>
            </xdr:cNvPr>
            <xdr:cNvSpPr txBox="1"/>
          </xdr:nvSpPr>
          <xdr:spPr>
            <a:xfrm>
              <a:off x="342900" y="2716530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𝑀</m:t>
                        </m:r>
                      </m:e>
                      <m:sub>
                        <m:r>
                          <a:rPr lang="en-US" sz="1100" b="0" i="1">
                            <a:latin typeface="Cambria Math"/>
                          </a:rPr>
                          <m:t>𝑑</m:t>
                        </m:r>
                      </m:sub>
                    </m:sSub>
                    <m:r>
                      <a:rPr lang="en-US" sz="1100" b="0" i="1">
                        <a:latin typeface="Cambria Math"/>
                      </a:rPr>
                      <m:t>=</m:t>
                    </m:r>
                    <m:d>
                      <m:dPr>
                        <m:ctrlPr>
                          <a:rPr lang="en-US" sz="1100" b="0" i="1">
                            <a:latin typeface="Cambria Math" panose="02040503050406030204" pitchFamily="18" charset="0"/>
                          </a:rPr>
                        </m:ctrlPr>
                      </m:dPr>
                      <m:e>
                        <m:r>
                          <a:rPr lang="en-US" sz="1100" b="0" i="1">
                            <a:latin typeface="Cambria Math"/>
                          </a:rPr>
                          <m:t>0.5</m:t>
                        </m:r>
                        <m:sSub>
                          <m:sSubPr>
                            <m:ctrlPr>
                              <a:rPr lang="en-US" sz="1100" b="0" i="1">
                                <a:latin typeface="Cambria Math" panose="02040503050406030204" pitchFamily="18" charset="0"/>
                              </a:rPr>
                            </m:ctrlPr>
                          </m:sSubPr>
                          <m:e>
                            <m:r>
                              <a:rPr lang="en-US" sz="1100" b="0" i="1">
                                <a:latin typeface="Cambria Math"/>
                              </a:rPr>
                              <m:t>𝐸</m:t>
                            </m:r>
                          </m:e>
                          <m:sub>
                            <m:r>
                              <a:rPr lang="en-US" sz="1100" b="0" i="1">
                                <a:latin typeface="Cambria Math"/>
                              </a:rPr>
                              <m:t>𝑐</m:t>
                            </m:r>
                          </m:sub>
                        </m:sSub>
                        <m:r>
                          <a:rPr lang="en-US" sz="1100" b="0" i="1">
                            <a:latin typeface="Cambria Math"/>
                          </a:rPr>
                          <m:t>𝐼</m:t>
                        </m:r>
                      </m:e>
                    </m:d>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𝐷</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oMath>
                </m:oMathPara>
              </a14:m>
              <a:endParaRPr lang="en-US" sz="1100"/>
            </a:p>
          </xdr:txBody>
        </xdr:sp>
      </mc:Choice>
      <mc:Fallback xmlns="">
        <xdr:sp macro="" textlink="">
          <xdr:nvSpPr>
            <xdr:cNvPr id="93" name="TextBox 92"/>
            <xdr:cNvSpPr txBox="1"/>
          </xdr:nvSpPr>
          <xdr:spPr>
            <a:xfrm>
              <a:off x="342900" y="2716530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𝑀_𝑑=(0.5𝐸_𝑐 𝐼)  </a:t>
              </a:r>
              <a:r>
                <a:rPr lang="en-US" sz="1100" b="0" i="0">
                  <a:latin typeface="Cambria Math"/>
                  <a:ea typeface="Cambria Math"/>
                </a:rPr>
                <a:t>𝜃_𝐷/</a:t>
              </a:r>
              <a:r>
                <a:rPr lang="en-US" sz="1100" b="0" i="0">
                  <a:latin typeface="Cambria Math"/>
                </a:rPr>
                <a:t>ℎ_𝑟𝑡 </a:t>
              </a:r>
              <a:endParaRPr lang="en-US" sz="1100"/>
            </a:p>
          </xdr:txBody>
        </xdr:sp>
      </mc:Fallback>
    </mc:AlternateContent>
    <xdr:clientData/>
  </xdr:oneCellAnchor>
  <xdr:oneCellAnchor>
    <xdr:from>
      <xdr:col>2</xdr:col>
      <xdr:colOff>9524</xdr:colOff>
      <xdr:row>205</xdr:row>
      <xdr:rowOff>114300</xdr:rowOff>
    </xdr:from>
    <xdr:ext cx="1895476" cy="264560"/>
    <mc:AlternateContent xmlns:mc="http://schemas.openxmlformats.org/markup-compatibility/2006" xmlns:a14="http://schemas.microsoft.com/office/drawing/2010/main">
      <mc:Choice Requires="a14">
        <xdr:sp macro="" textlink="">
          <xdr:nvSpPr>
            <xdr:cNvPr id="96" name="TextBox 95">
              <a:extLst>
                <a:ext uri="{FF2B5EF4-FFF2-40B4-BE49-F238E27FC236}">
                  <a16:creationId xmlns:a16="http://schemas.microsoft.com/office/drawing/2014/main" id="{00000000-0008-0000-0300-000060000000}"/>
                </a:ext>
              </a:extLst>
            </xdr:cNvPr>
            <xdr:cNvSpPr txBox="1"/>
          </xdr:nvSpPr>
          <xdr:spPr>
            <a:xfrm>
              <a:off x="1019174" y="34032825"/>
              <a:ext cx="18954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ea typeface="Cambria Math"/>
                        </a:rPr>
                        <m:t>𝐷</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𝑑</m:t>
                      </m:r>
                    </m:sub>
                  </m:sSub>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𝑟</m:t>
                      </m:r>
                    </m:sub>
                  </m:sSub>
                  <m:r>
                    <a:rPr lang="en-US" sz="1100" b="0" i="0">
                      <a:solidFill>
                        <a:schemeClr val="tx1"/>
                      </a:solidFill>
                      <a:effectLst/>
                      <a:latin typeface="Cambria Math"/>
                      <a:ea typeface="+mn-ea"/>
                      <a:cs typeface="+mn-cs"/>
                    </a:rPr>
                    <m:t>=</m:t>
                  </m:r>
                </m:oMath>
              </a14:m>
              <a:endParaRPr lang="en-US" sz="1100"/>
            </a:p>
          </xdr:txBody>
        </xdr:sp>
      </mc:Choice>
      <mc:Fallback xmlns="">
        <xdr:sp macro="" textlink="">
          <xdr:nvSpPr>
            <xdr:cNvPr id="96" name="TextBox 95">
              <a:extLst>
                <a:ext uri="{FF2B5EF4-FFF2-40B4-BE49-F238E27FC236}">
                  <a16:creationId xmlns:a16="http://schemas.microsoft.com/office/drawing/2014/main" xmlns:a14="http://schemas.microsoft.com/office/drawing/2010/main" xmlns="" id="{00000000-0008-0000-0300-000060000000}"/>
                </a:ext>
              </a:extLst>
            </xdr:cNvPr>
            <xdr:cNvSpPr txBox="1"/>
          </xdr:nvSpPr>
          <xdr:spPr>
            <a:xfrm>
              <a:off x="1019174" y="34032825"/>
              <a:ext cx="18954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ea typeface="Cambria Math"/>
                </a:rPr>
                <a:t>𝐷</a:t>
              </a:r>
              <a:r>
                <a:rPr lang="en-US" sz="1100" b="0" i="0">
                  <a:latin typeface="Cambria Math"/>
                </a:rPr>
                <a:t>=</a:t>
              </a:r>
              <a:r>
                <a:rPr lang="en-US" sz="1100" b="0" i="0">
                  <a:latin typeface="Cambria Math"/>
                  <a:ea typeface="Cambria Math"/>
                </a:rPr>
                <a:t>𝜃_𝑑</a:t>
              </a:r>
              <a:r>
                <a:rPr lang="en-US" sz="1100"/>
                <a:t>+ </a:t>
              </a:r>
              <a:r>
                <a:rPr lang="en-US" sz="1100" b="0" i="0">
                  <a:solidFill>
                    <a:schemeClr val="tx1"/>
                  </a:solidFill>
                  <a:effectLst/>
                  <a:latin typeface="Cambria Math"/>
                  <a:ea typeface="+mn-ea"/>
                  <a:cs typeface="+mn-cs"/>
                </a:rPr>
                <a:t>𝜃_𝑟=</a:t>
              </a:r>
              <a:endParaRPr lang="en-US" sz="1100"/>
            </a:p>
          </xdr:txBody>
        </xdr:sp>
      </mc:Fallback>
    </mc:AlternateContent>
    <xdr:clientData/>
  </xdr:oneCellAnchor>
  <xdr:oneCellAnchor>
    <xdr:from>
      <xdr:col>0</xdr:col>
      <xdr:colOff>438150</xdr:colOff>
      <xdr:row>208</xdr:row>
      <xdr:rowOff>28575</xdr:rowOff>
    </xdr:from>
    <xdr:ext cx="1790700" cy="440377"/>
    <mc:AlternateContent xmlns:mc="http://schemas.openxmlformats.org/markup-compatibility/2006" xmlns:a14="http://schemas.microsoft.com/office/drawing/2010/main">
      <mc:Choice Requires="a14">
        <xdr:sp macro="" textlink="">
          <xdr:nvSpPr>
            <xdr:cNvPr id="97" name="TextBox 96">
              <a:extLst>
                <a:ext uri="{FF2B5EF4-FFF2-40B4-BE49-F238E27FC236}">
                  <a16:creationId xmlns:a16="http://schemas.microsoft.com/office/drawing/2014/main" id="{00000000-0008-0000-0300-000061000000}"/>
                </a:ext>
              </a:extLst>
            </xdr:cNvPr>
            <xdr:cNvSpPr txBox="1"/>
          </xdr:nvSpPr>
          <xdr:spPr>
            <a:xfrm>
              <a:off x="438150" y="3072765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𝑀</m:t>
                        </m:r>
                      </m:e>
                      <m:sub>
                        <m:r>
                          <a:rPr lang="en-US" sz="1100" b="0" i="1">
                            <a:latin typeface="Cambria Math"/>
                          </a:rPr>
                          <m:t>𝑑</m:t>
                        </m:r>
                      </m:sub>
                    </m:sSub>
                    <m:r>
                      <a:rPr lang="en-US" sz="1100" b="0" i="1">
                        <a:latin typeface="Cambria Math"/>
                      </a:rPr>
                      <m:t>=</m:t>
                    </m:r>
                    <m:d>
                      <m:dPr>
                        <m:ctrlPr>
                          <a:rPr lang="en-US" sz="1100" b="0" i="1">
                            <a:latin typeface="Cambria Math" panose="02040503050406030204" pitchFamily="18" charset="0"/>
                          </a:rPr>
                        </m:ctrlPr>
                      </m:dPr>
                      <m:e>
                        <m:r>
                          <a:rPr lang="en-US" sz="1100" b="0" i="1">
                            <a:latin typeface="Cambria Math"/>
                          </a:rPr>
                          <m:t>0.5</m:t>
                        </m:r>
                        <m:sSub>
                          <m:sSubPr>
                            <m:ctrlPr>
                              <a:rPr lang="en-US" sz="1100" b="0" i="1">
                                <a:latin typeface="Cambria Math" panose="02040503050406030204" pitchFamily="18" charset="0"/>
                              </a:rPr>
                            </m:ctrlPr>
                          </m:sSubPr>
                          <m:e>
                            <m:r>
                              <a:rPr lang="en-US" sz="1100" b="0" i="1">
                                <a:latin typeface="Cambria Math"/>
                              </a:rPr>
                              <m:t>𝐸</m:t>
                            </m:r>
                          </m:e>
                          <m:sub>
                            <m:r>
                              <a:rPr lang="en-US" sz="1100" b="0" i="1">
                                <a:latin typeface="Cambria Math"/>
                              </a:rPr>
                              <m:t>𝑐</m:t>
                            </m:r>
                          </m:sub>
                        </m:sSub>
                        <m:r>
                          <a:rPr lang="en-US" sz="1100" b="0" i="1">
                            <a:latin typeface="Cambria Math"/>
                          </a:rPr>
                          <m:t>𝐼</m:t>
                        </m:r>
                      </m:e>
                    </m:d>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𝐷</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r>
                      <a:rPr lang="en-US" sz="1100" b="0" i="1">
                        <a:latin typeface="Cambria Math"/>
                      </a:rPr>
                      <m:t>=</m:t>
                    </m:r>
                  </m:oMath>
                </m:oMathPara>
              </a14:m>
              <a:endParaRPr lang="en-US" sz="1100"/>
            </a:p>
          </xdr:txBody>
        </xdr:sp>
      </mc:Choice>
      <mc:Fallback xmlns="">
        <xdr:sp macro="" textlink="">
          <xdr:nvSpPr>
            <xdr:cNvPr id="97" name="TextBox 96"/>
            <xdr:cNvSpPr txBox="1"/>
          </xdr:nvSpPr>
          <xdr:spPr>
            <a:xfrm>
              <a:off x="438150" y="30727650"/>
              <a:ext cx="17907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𝑀_𝑑=(0.5𝐸_𝑐 𝐼)  </a:t>
              </a:r>
              <a:r>
                <a:rPr lang="en-US" sz="1100" b="0" i="0">
                  <a:latin typeface="Cambria Math"/>
                  <a:ea typeface="Cambria Math"/>
                </a:rPr>
                <a:t>𝜃_𝐷/</a:t>
              </a:r>
              <a:r>
                <a:rPr lang="en-US" sz="1100" b="0" i="0">
                  <a:latin typeface="Cambria Math"/>
                </a:rPr>
                <a:t>ℎ_𝑟𝑡 =</a:t>
              </a:r>
              <a:endParaRPr lang="en-US" sz="1100"/>
            </a:p>
          </xdr:txBody>
        </xdr:sp>
      </mc:Fallback>
    </mc:AlternateContent>
    <xdr:clientData/>
  </xdr:oneCellAnchor>
  <xdr:oneCellAnchor>
    <xdr:from>
      <xdr:col>2</xdr:col>
      <xdr:colOff>23813</xdr:colOff>
      <xdr:row>216</xdr:row>
      <xdr:rowOff>123825</xdr:rowOff>
    </xdr:from>
    <xdr:ext cx="795337" cy="275653"/>
    <mc:AlternateContent xmlns:mc="http://schemas.openxmlformats.org/markup-compatibility/2006" xmlns:a14="http://schemas.microsoft.com/office/drawing/2010/main">
      <mc:Choice Requires="a14">
        <xdr:sp macro="" textlink="">
          <xdr:nvSpPr>
            <xdr:cNvPr id="100" name="TextBox 99">
              <a:extLst>
                <a:ext uri="{FF2B5EF4-FFF2-40B4-BE49-F238E27FC236}">
                  <a16:creationId xmlns:a16="http://schemas.microsoft.com/office/drawing/2014/main" id="{00000000-0008-0000-0300-000064000000}"/>
                </a:ext>
              </a:extLst>
            </xdr:cNvPr>
            <xdr:cNvSpPr txBox="1"/>
          </xdr:nvSpPr>
          <xdr:spPr>
            <a:xfrm>
              <a:off x="1033463" y="32766000"/>
              <a:ext cx="79533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r>
                          <a:rPr lang="en-US" sz="1100" b="0" i="1">
                            <a:latin typeface="Cambria Math"/>
                            <a:ea typeface="Cambria Math"/>
                          </a:rPr>
                          <m:t>,</m:t>
                        </m:r>
                        <m:r>
                          <a:rPr lang="en-US" sz="1100" b="0" i="1">
                            <a:latin typeface="Cambria Math"/>
                            <a:ea typeface="Cambria Math"/>
                          </a:rPr>
                          <m:t>𝑒𝑑𝑔𝑒</m:t>
                        </m:r>
                      </m:sub>
                    </m:sSub>
                    <m:r>
                      <a:rPr lang="en-US" sz="1100" b="0" i="1">
                        <a:latin typeface="Cambria Math"/>
                        <a:ea typeface="Cambria Math"/>
                      </a:rPr>
                      <m:t> =</m:t>
                    </m:r>
                  </m:oMath>
                </m:oMathPara>
              </a14:m>
              <a:endParaRPr lang="en-US" sz="1100"/>
            </a:p>
          </xdr:txBody>
        </xdr:sp>
      </mc:Choice>
      <mc:Fallback xmlns="">
        <xdr:sp macro="" textlink="">
          <xdr:nvSpPr>
            <xdr:cNvPr id="100" name="TextBox 99"/>
            <xdr:cNvSpPr txBox="1"/>
          </xdr:nvSpPr>
          <xdr:spPr>
            <a:xfrm>
              <a:off x="1033463" y="32766000"/>
              <a:ext cx="79533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𝑠,𝑒𝑑𝑔𝑒)  =</a:t>
              </a:r>
              <a:endParaRPr lang="en-US" sz="1100"/>
            </a:p>
          </xdr:txBody>
        </xdr:sp>
      </mc:Fallback>
    </mc:AlternateContent>
    <xdr:clientData/>
  </xdr:oneCellAnchor>
  <xdr:oneCellAnchor>
    <xdr:from>
      <xdr:col>4</xdr:col>
      <xdr:colOff>481013</xdr:colOff>
      <xdr:row>216</xdr:row>
      <xdr:rowOff>104775</xdr:rowOff>
    </xdr:from>
    <xdr:ext cx="795337" cy="264560"/>
    <mc:AlternateContent xmlns:mc="http://schemas.openxmlformats.org/markup-compatibility/2006" xmlns:a14="http://schemas.microsoft.com/office/drawing/2010/main">
      <mc:Choice Requires="a14">
        <xdr:sp macro="" textlink="">
          <xdr:nvSpPr>
            <xdr:cNvPr id="101" name="TextBox 100">
              <a:extLst>
                <a:ext uri="{FF2B5EF4-FFF2-40B4-BE49-F238E27FC236}">
                  <a16:creationId xmlns:a16="http://schemas.microsoft.com/office/drawing/2014/main" id="{00000000-0008-0000-0300-000065000000}"/>
                </a:ext>
              </a:extLst>
            </xdr:cNvPr>
            <xdr:cNvSpPr txBox="1"/>
          </xdr:nvSpPr>
          <xdr:spPr>
            <a:xfrm>
              <a:off x="2805113" y="2562225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𝑠𝑎𝑙𝑙𝑜𝑤</m:t>
                        </m:r>
                      </m:sub>
                    </m:sSub>
                    <m:r>
                      <a:rPr lang="en-US" sz="1100" b="0" i="1">
                        <a:latin typeface="Cambria Math"/>
                        <a:ea typeface="Cambria Math"/>
                      </a:rPr>
                      <m:t> =</m:t>
                    </m:r>
                  </m:oMath>
                </m:oMathPara>
              </a14:m>
              <a:endParaRPr lang="en-US" sz="1100"/>
            </a:p>
          </xdr:txBody>
        </xdr:sp>
      </mc:Choice>
      <mc:Fallback xmlns="">
        <xdr:sp macro="" textlink="">
          <xdr:nvSpPr>
            <xdr:cNvPr id="101" name="TextBox 100"/>
            <xdr:cNvSpPr txBox="1"/>
          </xdr:nvSpPr>
          <xdr:spPr>
            <a:xfrm>
              <a:off x="2805113" y="2562225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𝑠𝑎𝑙𝑙𝑜𝑤  =</a:t>
              </a:r>
              <a:endParaRPr lang="en-US" sz="1100"/>
            </a:p>
          </xdr:txBody>
        </xdr:sp>
      </mc:Fallback>
    </mc:AlternateContent>
    <xdr:clientData/>
  </xdr:oneCellAnchor>
  <xdr:oneCellAnchor>
    <xdr:from>
      <xdr:col>1</xdr:col>
      <xdr:colOff>452438</xdr:colOff>
      <xdr:row>218</xdr:row>
      <xdr:rowOff>85725</xdr:rowOff>
    </xdr:from>
    <xdr:ext cx="919162" cy="275653"/>
    <mc:AlternateContent xmlns:mc="http://schemas.openxmlformats.org/markup-compatibility/2006" xmlns:a14="http://schemas.microsoft.com/office/drawing/2010/main">
      <mc:Choice Requires="a14">
        <xdr:sp macro="" textlink="">
          <xdr:nvSpPr>
            <xdr:cNvPr id="102" name="TextBox 101">
              <a:extLst>
                <a:ext uri="{FF2B5EF4-FFF2-40B4-BE49-F238E27FC236}">
                  <a16:creationId xmlns:a16="http://schemas.microsoft.com/office/drawing/2014/main" id="{00000000-0008-0000-0300-000066000000}"/>
                </a:ext>
              </a:extLst>
            </xdr:cNvPr>
            <xdr:cNvSpPr txBox="1"/>
          </xdr:nvSpPr>
          <xdr:spPr>
            <a:xfrm>
              <a:off x="957263" y="35109150"/>
              <a:ext cx="919162"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r>
                          <a:rPr lang="en-US" sz="1100" b="0" i="1">
                            <a:latin typeface="Cambria Math"/>
                            <a:ea typeface="Cambria Math"/>
                          </a:rPr>
                          <m:t>,</m:t>
                        </m:r>
                        <m:r>
                          <a:rPr lang="en-US" sz="1100" b="0" i="1">
                            <a:latin typeface="Cambria Math"/>
                            <a:ea typeface="Cambria Math"/>
                          </a:rPr>
                          <m:t>𝑒𝑑𝑔𝑒</m:t>
                        </m:r>
                      </m:sub>
                    </m:sSub>
                    <m:r>
                      <a:rPr lang="en-US" sz="1100" b="0" i="1">
                        <a:latin typeface="Cambria Math"/>
                        <a:ea typeface="Cambria Math"/>
                      </a:rPr>
                      <m:t> =</m:t>
                    </m:r>
                  </m:oMath>
                </m:oMathPara>
              </a14:m>
              <a:endParaRPr lang="en-US" sz="1100"/>
            </a:p>
          </xdr:txBody>
        </xdr:sp>
      </mc:Choice>
      <mc:Fallback xmlns="">
        <xdr:sp macro="" textlink="">
          <xdr:nvSpPr>
            <xdr:cNvPr id="102" name="TextBox 101"/>
            <xdr:cNvSpPr txBox="1"/>
          </xdr:nvSpPr>
          <xdr:spPr>
            <a:xfrm>
              <a:off x="957263" y="35109150"/>
              <a:ext cx="919162"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𝑑,𝑒𝑑𝑔𝑒)  =</a:t>
              </a:r>
              <a:endParaRPr lang="en-US" sz="1100"/>
            </a:p>
          </xdr:txBody>
        </xdr:sp>
      </mc:Fallback>
    </mc:AlternateContent>
    <xdr:clientData/>
  </xdr:oneCellAnchor>
  <xdr:oneCellAnchor>
    <xdr:from>
      <xdr:col>4</xdr:col>
      <xdr:colOff>442913</xdr:colOff>
      <xdr:row>218</xdr:row>
      <xdr:rowOff>95250</xdr:rowOff>
    </xdr:from>
    <xdr:ext cx="862012" cy="264560"/>
    <mc:AlternateContent xmlns:mc="http://schemas.openxmlformats.org/markup-compatibility/2006" xmlns:a14="http://schemas.microsoft.com/office/drawing/2010/main">
      <mc:Choice Requires="a14">
        <xdr:sp macro="" textlink="">
          <xdr:nvSpPr>
            <xdr:cNvPr id="103" name="TextBox 102">
              <a:extLst>
                <a:ext uri="{FF2B5EF4-FFF2-40B4-BE49-F238E27FC236}">
                  <a16:creationId xmlns:a16="http://schemas.microsoft.com/office/drawing/2014/main" id="{00000000-0008-0000-0300-000067000000}"/>
                </a:ext>
              </a:extLst>
            </xdr:cNvPr>
            <xdr:cNvSpPr txBox="1"/>
          </xdr:nvSpPr>
          <xdr:spPr>
            <a:xfrm>
              <a:off x="2767013" y="25936575"/>
              <a:ext cx="8620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𝑑𝑎𝑙𝑙𝑜𝑤</m:t>
                        </m:r>
                      </m:sub>
                    </m:sSub>
                    <m:r>
                      <a:rPr lang="en-US" sz="1100" b="0" i="1">
                        <a:latin typeface="Cambria Math"/>
                        <a:ea typeface="Cambria Math"/>
                      </a:rPr>
                      <m:t> =</m:t>
                    </m:r>
                  </m:oMath>
                </m:oMathPara>
              </a14:m>
              <a:endParaRPr lang="en-US" sz="1100"/>
            </a:p>
          </xdr:txBody>
        </xdr:sp>
      </mc:Choice>
      <mc:Fallback xmlns="">
        <xdr:sp macro="" textlink="">
          <xdr:nvSpPr>
            <xdr:cNvPr id="103" name="TextBox 102"/>
            <xdr:cNvSpPr txBox="1"/>
          </xdr:nvSpPr>
          <xdr:spPr>
            <a:xfrm>
              <a:off x="2767013" y="25936575"/>
              <a:ext cx="8620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𝑑𝑎𝑙𝑙𝑜𝑤  =</a:t>
              </a:r>
              <a:endParaRPr lang="en-US" sz="1100"/>
            </a:p>
          </xdr:txBody>
        </xdr:sp>
      </mc:Fallback>
    </mc:AlternateContent>
    <xdr:clientData/>
  </xdr:oneCellAnchor>
  <xdr:twoCellAnchor>
    <xdr:from>
      <xdr:col>5</xdr:col>
      <xdr:colOff>295275</xdr:colOff>
      <xdr:row>225</xdr:row>
      <xdr:rowOff>95250</xdr:rowOff>
    </xdr:from>
    <xdr:to>
      <xdr:col>5</xdr:col>
      <xdr:colOff>295275</xdr:colOff>
      <xdr:row>226</xdr:row>
      <xdr:rowOff>133350</xdr:rowOff>
    </xdr:to>
    <xdr:cxnSp macro="">
      <xdr:nvCxnSpPr>
        <xdr:cNvPr id="105" name="Straight Arrow Connector 104">
          <a:extLst>
            <a:ext uri="{FF2B5EF4-FFF2-40B4-BE49-F238E27FC236}">
              <a16:creationId xmlns:a16="http://schemas.microsoft.com/office/drawing/2014/main" id="{00000000-0008-0000-0300-000069000000}"/>
            </a:ext>
          </a:extLst>
        </xdr:cNvPr>
        <xdr:cNvCxnSpPr/>
      </xdr:nvCxnSpPr>
      <xdr:spPr>
        <a:xfrm>
          <a:off x="3228975" y="32489775"/>
          <a:ext cx="0" cy="2000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231</xdr:row>
      <xdr:rowOff>76200</xdr:rowOff>
    </xdr:from>
    <xdr:to>
      <xdr:col>2</xdr:col>
      <xdr:colOff>704850</xdr:colOff>
      <xdr:row>231</xdr:row>
      <xdr:rowOff>76200</xdr:rowOff>
    </xdr:to>
    <xdr:cxnSp macro="">
      <xdr:nvCxnSpPr>
        <xdr:cNvPr id="106" name="Straight Arrow Connector 105">
          <a:extLst>
            <a:ext uri="{FF2B5EF4-FFF2-40B4-BE49-F238E27FC236}">
              <a16:creationId xmlns:a16="http://schemas.microsoft.com/office/drawing/2014/main" id="{00000000-0008-0000-0300-00006A000000}"/>
            </a:ext>
          </a:extLst>
        </xdr:cNvPr>
        <xdr:cNvCxnSpPr/>
      </xdr:nvCxnSpPr>
      <xdr:spPr>
        <a:xfrm>
          <a:off x="1428750" y="33442275"/>
          <a:ext cx="28575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119063</xdr:colOff>
      <xdr:row>224</xdr:row>
      <xdr:rowOff>104775</xdr:rowOff>
    </xdr:from>
    <xdr:ext cx="795337" cy="264560"/>
    <mc:AlternateContent xmlns:mc="http://schemas.openxmlformats.org/markup-compatibility/2006" xmlns:a14="http://schemas.microsoft.com/office/drawing/2010/main">
      <mc:Choice Requires="a14">
        <xdr:sp macro="" textlink="">
          <xdr:nvSpPr>
            <xdr:cNvPr id="108" name="TextBox 107">
              <a:extLst>
                <a:ext uri="{FF2B5EF4-FFF2-40B4-BE49-F238E27FC236}">
                  <a16:creationId xmlns:a16="http://schemas.microsoft.com/office/drawing/2014/main" id="{00000000-0008-0000-0300-00006C000000}"/>
                </a:ext>
              </a:extLst>
            </xdr:cNvPr>
            <xdr:cNvSpPr txBox="1"/>
          </xdr:nvSpPr>
          <xdr:spPr>
            <a:xfrm>
              <a:off x="3176588" y="3693795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108" name="TextBox 107"/>
            <xdr:cNvSpPr txBox="1"/>
          </xdr:nvSpPr>
          <xdr:spPr>
            <a:xfrm>
              <a:off x="3176588" y="36937950"/>
              <a:ext cx="7953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a:t>
              </a:r>
              <a:endParaRPr lang="en-US" sz="1100"/>
            </a:p>
          </xdr:txBody>
        </xdr:sp>
      </mc:Fallback>
    </mc:AlternateContent>
    <xdr:clientData/>
  </xdr:oneCellAnchor>
  <xdr:oneCellAnchor>
    <xdr:from>
      <xdr:col>0</xdr:col>
      <xdr:colOff>400050</xdr:colOff>
      <xdr:row>230</xdr:row>
      <xdr:rowOff>85725</xdr:rowOff>
    </xdr:from>
    <xdr:ext cx="790575" cy="264560"/>
    <mc:AlternateContent xmlns:mc="http://schemas.openxmlformats.org/markup-compatibility/2006" xmlns:a14="http://schemas.microsoft.com/office/drawing/2010/main">
      <mc:Choice Requires="a14">
        <xdr:sp macro="" textlink="">
          <xdr:nvSpPr>
            <xdr:cNvPr id="109" name="TextBox 108">
              <a:extLst>
                <a:ext uri="{FF2B5EF4-FFF2-40B4-BE49-F238E27FC236}">
                  <a16:creationId xmlns:a16="http://schemas.microsoft.com/office/drawing/2014/main" id="{00000000-0008-0000-0300-00006D000000}"/>
                </a:ext>
              </a:extLst>
            </xdr:cNvPr>
            <xdr:cNvSpPr txBox="1"/>
          </xdr:nvSpPr>
          <xdr:spPr>
            <a:xfrm>
              <a:off x="400050" y="33289875"/>
              <a:ext cx="790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𝑇</m:t>
                      </m:r>
                    </m:e>
                    <m:sub>
                      <m:r>
                        <a:rPr lang="en-US" sz="1100" b="0" i="1">
                          <a:latin typeface="Cambria Math"/>
                        </a:rPr>
                        <m:t>𝑚𝑖𝑛</m:t>
                      </m:r>
                    </m:sub>
                  </m:sSub>
                  <m:r>
                    <a:rPr lang="en-US" sz="1100" b="0" i="1">
                      <a:latin typeface="Cambria Math"/>
                    </a:rPr>
                    <m:t>=</m:t>
                  </m:r>
                </m:oMath>
              </a14:m>
              <a:r>
                <a:rPr lang="en-US" sz="1100"/>
                <a:t> </a:t>
              </a:r>
            </a:p>
          </xdr:txBody>
        </xdr:sp>
      </mc:Choice>
      <mc:Fallback xmlns="">
        <xdr:sp macro="" textlink="">
          <xdr:nvSpPr>
            <xdr:cNvPr id="109" name="TextBox 108"/>
            <xdr:cNvSpPr txBox="1"/>
          </xdr:nvSpPr>
          <xdr:spPr>
            <a:xfrm>
              <a:off x="400050" y="33289875"/>
              <a:ext cx="790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𝑇_𝑚𝑖𝑛=</a:t>
              </a:r>
              <a:r>
                <a:rPr lang="en-US" sz="1100"/>
                <a:t> </a:t>
              </a:r>
            </a:p>
          </xdr:txBody>
        </xdr:sp>
      </mc:Fallback>
    </mc:AlternateContent>
    <xdr:clientData/>
  </xdr:oneCellAnchor>
  <xdr:oneCellAnchor>
    <xdr:from>
      <xdr:col>7</xdr:col>
      <xdr:colOff>466725</xdr:colOff>
      <xdr:row>228</xdr:row>
      <xdr:rowOff>104775</xdr:rowOff>
    </xdr:from>
    <xdr:ext cx="914400" cy="264560"/>
    <mc:AlternateContent xmlns:mc="http://schemas.openxmlformats.org/markup-compatibility/2006" xmlns:a14="http://schemas.microsoft.com/office/drawing/2010/main">
      <mc:Choice Requires="a14">
        <xdr:sp macro="" textlink="">
          <xdr:nvSpPr>
            <xdr:cNvPr id="110" name="TextBox 109">
              <a:extLst>
                <a:ext uri="{FF2B5EF4-FFF2-40B4-BE49-F238E27FC236}">
                  <a16:creationId xmlns:a16="http://schemas.microsoft.com/office/drawing/2014/main" id="{00000000-0008-0000-0300-00006E000000}"/>
                </a:ext>
              </a:extLst>
            </xdr:cNvPr>
            <xdr:cNvSpPr txBox="1"/>
          </xdr:nvSpPr>
          <xdr:spPr>
            <a:xfrm>
              <a:off x="4619625" y="331470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𝜇</m:t>
                        </m:r>
                      </m:e>
                      <m:sub>
                        <m:r>
                          <a:rPr lang="en-US" sz="1100" b="0" i="1">
                            <a:latin typeface="Cambria Math"/>
                          </a:rPr>
                          <m:t>𝑃𝑇𝐹𝐸</m:t>
                        </m:r>
                      </m:sub>
                    </m:sSub>
                    <m:r>
                      <a:rPr lang="en-US" sz="1100" b="0" i="1">
                        <a:latin typeface="Cambria Math"/>
                      </a:rPr>
                      <m:t>=</m:t>
                    </m:r>
                  </m:oMath>
                </m:oMathPara>
              </a14:m>
              <a:endParaRPr lang="en-US" sz="1100"/>
            </a:p>
          </xdr:txBody>
        </xdr:sp>
      </mc:Choice>
      <mc:Fallback xmlns="">
        <xdr:sp macro="" textlink="">
          <xdr:nvSpPr>
            <xdr:cNvPr id="110" name="TextBox 109"/>
            <xdr:cNvSpPr txBox="1"/>
          </xdr:nvSpPr>
          <xdr:spPr>
            <a:xfrm>
              <a:off x="4619625" y="331470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𝜇_</a:t>
              </a:r>
              <a:r>
                <a:rPr lang="en-US" sz="1100" b="0" i="0">
                  <a:latin typeface="Cambria Math"/>
                </a:rPr>
                <a:t>𝑃𝑇𝐹𝐸=</a:t>
              </a:r>
              <a:endParaRPr lang="en-US" sz="1100"/>
            </a:p>
          </xdr:txBody>
        </xdr:sp>
      </mc:Fallback>
    </mc:AlternateContent>
    <xdr:clientData/>
  </xdr:oneCellAnchor>
  <xdr:oneCellAnchor>
    <xdr:from>
      <xdr:col>0</xdr:col>
      <xdr:colOff>385763</xdr:colOff>
      <xdr:row>210</xdr:row>
      <xdr:rowOff>152400</xdr:rowOff>
    </xdr:from>
    <xdr:ext cx="1852612" cy="437749"/>
    <mc:AlternateContent xmlns:mc="http://schemas.openxmlformats.org/markup-compatibility/2006" xmlns:a14="http://schemas.microsoft.com/office/drawing/2010/main">
      <mc:Choice Requires="a14">
        <xdr:sp macro="" textlink="">
          <xdr:nvSpPr>
            <xdr:cNvPr id="107" name="TextBox 106">
              <a:extLst>
                <a:ext uri="{FF2B5EF4-FFF2-40B4-BE49-F238E27FC236}">
                  <a16:creationId xmlns:a16="http://schemas.microsoft.com/office/drawing/2014/main" id="{00000000-0008-0000-0300-00006B000000}"/>
                </a:ext>
              </a:extLst>
            </xdr:cNvPr>
            <xdr:cNvSpPr txBox="1"/>
          </xdr:nvSpPr>
          <xdr:spPr>
            <a:xfrm>
              <a:off x="385763" y="34042350"/>
              <a:ext cx="1852612" cy="437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r>
                          <a:rPr lang="en-US" sz="1100" b="0" i="1">
                            <a:latin typeface="Cambria Math"/>
                            <a:ea typeface="Cambria Math"/>
                          </a:rPr>
                          <m:t>,</m:t>
                        </m:r>
                        <m:r>
                          <a:rPr lang="en-US" sz="1100" b="0" i="1">
                            <a:latin typeface="Cambria Math"/>
                            <a:ea typeface="Cambria Math"/>
                          </a:rPr>
                          <m:t>𝑒𝑑𝑔𝑒</m:t>
                        </m:r>
                      </m:sub>
                    </m:sSub>
                    <m:r>
                      <a:rPr lang="en-US" sz="1100" b="0" i="1">
                        <a:latin typeface="Cambria Math"/>
                        <a:ea typeface="Cambria Math"/>
                      </a:rPr>
                      <m:t> = </m:t>
                    </m:r>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𝑀</m:t>
                            </m:r>
                          </m:e>
                          <m:sub>
                            <m:r>
                              <a:rPr lang="en-US" sz="1100" b="0" i="1">
                                <a:latin typeface="Cambria Math"/>
                                <a:ea typeface="Cambria Math"/>
                              </a:rPr>
                              <m:t>𝑑</m:t>
                            </m:r>
                          </m:sub>
                        </m:sSub>
                      </m:num>
                      <m:den>
                        <m:r>
                          <a:rPr lang="en-US" sz="1100" b="0" i="1">
                            <a:latin typeface="Cambria Math"/>
                            <a:ea typeface="Cambria Math"/>
                          </a:rPr>
                          <m:t>1/6</m:t>
                        </m:r>
                        <m:r>
                          <a:rPr lang="en-US" sz="1100" b="0" i="1">
                            <a:latin typeface="Cambria Math"/>
                            <a:ea typeface="Cambria Math"/>
                          </a:rPr>
                          <m:t>𝑊</m:t>
                        </m:r>
                        <m:sSup>
                          <m:sSupPr>
                            <m:ctrlPr>
                              <a:rPr lang="en-US" sz="1100" b="0" i="1">
                                <a:latin typeface="Cambria Math" panose="02040503050406030204" pitchFamily="18" charset="0"/>
                                <a:ea typeface="Cambria Math"/>
                              </a:rPr>
                            </m:ctrlPr>
                          </m:sSupPr>
                          <m:e>
                            <m:r>
                              <a:rPr lang="en-US" sz="1100" b="0" i="1">
                                <a:latin typeface="Cambria Math"/>
                                <a:ea typeface="Cambria Math"/>
                              </a:rPr>
                              <m:t>𝐿</m:t>
                            </m:r>
                          </m:e>
                          <m:sup>
                            <m:r>
                              <a:rPr lang="en-US" sz="1100" b="0" i="1">
                                <a:latin typeface="Cambria Math"/>
                                <a:ea typeface="Cambria Math"/>
                              </a:rPr>
                              <m:t>2</m:t>
                            </m:r>
                          </m:sup>
                        </m:sSup>
                      </m:den>
                    </m:f>
                    <m:r>
                      <a:rPr lang="en-US" sz="1100" b="0" i="1">
                        <a:latin typeface="Cambria Math"/>
                        <a:ea typeface="Cambria Math"/>
                      </a:rPr>
                      <m:t> =</m:t>
                    </m:r>
                  </m:oMath>
                </m:oMathPara>
              </a14:m>
              <a:endParaRPr lang="en-US" sz="1100"/>
            </a:p>
          </xdr:txBody>
        </xdr:sp>
      </mc:Choice>
      <mc:Fallback xmlns="">
        <xdr:sp macro="" textlink="">
          <xdr:nvSpPr>
            <xdr:cNvPr id="107" name="TextBox 106"/>
            <xdr:cNvSpPr txBox="1"/>
          </xdr:nvSpPr>
          <xdr:spPr>
            <a:xfrm>
              <a:off x="385763" y="34042350"/>
              <a:ext cx="1852612" cy="437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𝑑,𝑒𝑑𝑔𝑒)  = 𝜎_𝑑+𝑀_𝑑/(1/6𝑊𝐿^2 )  =</a:t>
              </a:r>
              <a:endParaRPr lang="en-US" sz="1100"/>
            </a:p>
          </xdr:txBody>
        </xdr:sp>
      </mc:Fallback>
    </mc:AlternateContent>
    <xdr:clientData/>
  </xdr:oneCellAnchor>
  <xdr:oneCellAnchor>
    <xdr:from>
      <xdr:col>0</xdr:col>
      <xdr:colOff>371473</xdr:colOff>
      <xdr:row>238</xdr:row>
      <xdr:rowOff>104775</xdr:rowOff>
    </xdr:from>
    <xdr:ext cx="2247902" cy="264560"/>
    <mc:AlternateContent xmlns:mc="http://schemas.openxmlformats.org/markup-compatibility/2006" xmlns:a14="http://schemas.microsoft.com/office/drawing/2010/main">
      <mc:Choice Requires="a14">
        <xdr:sp macro="" textlink="">
          <xdr:nvSpPr>
            <xdr:cNvPr id="111" name="TextBox 110">
              <a:extLst>
                <a:ext uri="{FF2B5EF4-FFF2-40B4-BE49-F238E27FC236}">
                  <a16:creationId xmlns:a16="http://schemas.microsoft.com/office/drawing/2014/main" id="{00000000-0008-0000-0300-00006F000000}"/>
                </a:ext>
              </a:extLst>
            </xdr:cNvPr>
            <xdr:cNvSpPr txBox="1"/>
          </xdr:nvSpPr>
          <xdr:spPr>
            <a:xfrm>
              <a:off x="371473" y="39366825"/>
              <a:ext cx="22479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𝜇</m:t>
                      </m:r>
                    </m:e>
                    <m:sub>
                      <m:r>
                        <a:rPr lang="en-US" sz="1100" b="0" i="1">
                          <a:latin typeface="Cambria Math"/>
                          <a:ea typeface="Cambria Math"/>
                        </a:rPr>
                        <m:t>𝑃𝑇𝐹𝐸</m:t>
                      </m:r>
                    </m:sub>
                  </m:sSub>
                  <m:r>
                    <a:rPr lang="en-US" sz="1100" b="0" i="1">
                      <a:latin typeface="Cambria Math"/>
                      <a:ea typeface="Cambria Math"/>
                    </a:rPr>
                    <m:t>(</m:t>
                  </m:r>
                  <m:r>
                    <a:rPr lang="en-US" sz="1100" b="0" i="1">
                      <a:latin typeface="Cambria Math"/>
                      <a:ea typeface="Cambria Math"/>
                    </a:rPr>
                    <m:t>𝐷𝐿</m:t>
                  </m:r>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111" name="TextBox 110"/>
            <xdr:cNvSpPr txBox="1"/>
          </xdr:nvSpPr>
          <xdr:spPr>
            <a:xfrm>
              <a:off x="371473" y="39366825"/>
              <a:ext cx="22479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𝐻_𝑏=𝜇_𝑃𝑇𝐹𝐸 (𝐷𝐿</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0</xdr:col>
      <xdr:colOff>476249</xdr:colOff>
      <xdr:row>242</xdr:row>
      <xdr:rowOff>114300</xdr:rowOff>
    </xdr:from>
    <xdr:ext cx="1371601" cy="442301"/>
    <mc:AlternateContent xmlns:mc="http://schemas.openxmlformats.org/markup-compatibility/2006" xmlns:a14="http://schemas.microsoft.com/office/drawing/2010/main">
      <mc:Choice Requires="a14">
        <xdr:sp macro="" textlink="">
          <xdr:nvSpPr>
            <xdr:cNvPr id="94" name="TextBox 93">
              <a:extLst>
                <a:ext uri="{FF2B5EF4-FFF2-40B4-BE49-F238E27FC236}">
                  <a16:creationId xmlns:a16="http://schemas.microsoft.com/office/drawing/2014/main" id="{00000000-0008-0000-0300-00005E000000}"/>
                </a:ext>
              </a:extLst>
            </xdr:cNvPr>
            <xdr:cNvSpPr txBox="1"/>
          </xdr:nvSpPr>
          <xdr:spPr>
            <a:xfrm>
              <a:off x="476249" y="40490775"/>
              <a:ext cx="1371601"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𝑠𝑙𝑖𝑝</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𝐻</m:t>
                            </m:r>
                          </m:e>
                          <m:sub>
                            <m:r>
                              <a:rPr lang="en-US" sz="1100" b="0" i="1">
                                <a:latin typeface="Cambria Math"/>
                              </a:rPr>
                              <m:t>𝑏</m:t>
                            </m:r>
                          </m:sub>
                        </m:sSub>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num>
                      <m:den>
                        <m:sSub>
                          <m:sSubPr>
                            <m:ctrlPr>
                              <a:rPr lang="en-US" sz="1100" b="0" i="1">
                                <a:latin typeface="Cambria Math" panose="02040503050406030204" pitchFamily="18" charset="0"/>
                              </a:rPr>
                            </m:ctrlPr>
                          </m:sSubPr>
                          <m:e>
                            <m:r>
                              <a:rPr lang="en-US" sz="1100" b="0" i="1">
                                <a:latin typeface="Cambria Math"/>
                              </a:rPr>
                              <m:t>𝐺</m:t>
                            </m:r>
                          </m:e>
                          <m:sub>
                            <m:r>
                              <a:rPr lang="en-US" sz="1100" b="0" i="1">
                                <a:latin typeface="Cambria Math"/>
                              </a:rPr>
                              <m:t>𝑚𝑖𝑛</m:t>
                            </m:r>
                          </m:sub>
                        </m:sSub>
                        <m:r>
                          <a:rPr lang="en-US" sz="1100" b="0" i="1">
                            <a:latin typeface="Cambria Math"/>
                          </a:rPr>
                          <m:t>𝑊𝐿</m:t>
                        </m:r>
                      </m:den>
                    </m:f>
                    <m:r>
                      <a:rPr lang="en-US" sz="1100" b="0" i="1">
                        <a:latin typeface="Cambria Math"/>
                      </a:rPr>
                      <m:t>=</m:t>
                    </m:r>
                  </m:oMath>
                </m:oMathPara>
              </a14:m>
              <a:endParaRPr lang="en-US" sz="1100"/>
            </a:p>
          </xdr:txBody>
        </xdr:sp>
      </mc:Choice>
      <mc:Fallback xmlns="">
        <xdr:sp macro="" textlink="">
          <xdr:nvSpPr>
            <xdr:cNvPr id="94" name="TextBox 93">
              <a:extLst>
                <a:ext uri="{FF2B5EF4-FFF2-40B4-BE49-F238E27FC236}">
                  <a16:creationId xmlns="" xmlns:a16="http://schemas.microsoft.com/office/drawing/2014/main" xmlns:a14="http://schemas.microsoft.com/office/drawing/2010/main" id="{00000000-0008-0000-0300-00005E000000}"/>
                </a:ext>
              </a:extLst>
            </xdr:cNvPr>
            <xdr:cNvSpPr txBox="1"/>
          </xdr:nvSpPr>
          <xdr:spPr>
            <a:xfrm>
              <a:off x="476249" y="40490775"/>
              <a:ext cx="1371601"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rPr>
                <a:t>𝑠,𝑠𝑙𝑖𝑝)=(𝐻_𝑏 ℎ_𝑟𝑡)/(𝐺_𝑚𝑖𝑛 𝑊𝐿)=</a:t>
              </a:r>
              <a:endParaRPr lang="en-US" sz="1100"/>
            </a:p>
          </xdr:txBody>
        </xdr:sp>
      </mc:Fallback>
    </mc:AlternateContent>
    <xdr:clientData/>
  </xdr:oneCellAnchor>
  <xdr:oneCellAnchor>
    <xdr:from>
      <xdr:col>1</xdr:col>
      <xdr:colOff>133349</xdr:colOff>
      <xdr:row>245</xdr:row>
      <xdr:rowOff>95250</xdr:rowOff>
    </xdr:from>
    <xdr:ext cx="1162051" cy="274947"/>
    <mc:AlternateContent xmlns:mc="http://schemas.openxmlformats.org/markup-compatibility/2006" xmlns:a14="http://schemas.microsoft.com/office/drawing/2010/main">
      <mc:Choice Requires="a14">
        <xdr:sp macro="" textlink="">
          <xdr:nvSpPr>
            <xdr:cNvPr id="114" name="TextBox 113">
              <a:extLst>
                <a:ext uri="{FF2B5EF4-FFF2-40B4-BE49-F238E27FC236}">
                  <a16:creationId xmlns:a16="http://schemas.microsoft.com/office/drawing/2014/main" id="{00000000-0008-0000-0300-000072000000}"/>
                </a:ext>
              </a:extLst>
            </xdr:cNvPr>
            <xdr:cNvSpPr txBox="1"/>
          </xdr:nvSpPr>
          <xdr:spPr>
            <a:xfrm>
              <a:off x="638174" y="36299775"/>
              <a:ext cx="1162051"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0">
                        <a:latin typeface="Cambria Math"/>
                        <a:ea typeface="Cambria Math"/>
                      </a:rPr>
                      <m:t>≥2</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𝑠</m:t>
                        </m:r>
                        <m:r>
                          <a:rPr lang="en-US" sz="1100" b="0" i="1">
                            <a:latin typeface="Cambria Math"/>
                            <a:ea typeface="Cambria Math"/>
                          </a:rPr>
                          <m:t>,</m:t>
                        </m:r>
                        <m:r>
                          <a:rPr lang="en-US" sz="1100" b="0" i="1">
                            <a:latin typeface="Cambria Math"/>
                            <a:ea typeface="Cambria Math"/>
                          </a:rPr>
                          <m:t>𝑠𝑙𝑖𝑝</m:t>
                        </m:r>
                      </m:sub>
                    </m:sSub>
                    <m:r>
                      <a:rPr lang="en-US" sz="1100" b="0" i="0">
                        <a:latin typeface="Cambria Math"/>
                        <a:ea typeface="Cambria Math"/>
                      </a:rPr>
                      <m:t>=</m:t>
                    </m:r>
                  </m:oMath>
                </m:oMathPara>
              </a14:m>
              <a:endParaRPr lang="en-US" sz="1100"/>
            </a:p>
          </xdr:txBody>
        </xdr:sp>
      </mc:Choice>
      <mc:Fallback xmlns="">
        <xdr:sp macro="" textlink="">
          <xdr:nvSpPr>
            <xdr:cNvPr id="114" name="TextBox 113">
              <a:extLst>
                <a:ext uri="{FF2B5EF4-FFF2-40B4-BE49-F238E27FC236}">
                  <a16:creationId xmlns:a16="http://schemas.microsoft.com/office/drawing/2014/main" xmlns:a14="http://schemas.microsoft.com/office/drawing/2010/main" xmlns="" id="{00000000-0008-0000-0300-000072000000}"/>
                </a:ext>
              </a:extLst>
            </xdr:cNvPr>
            <xdr:cNvSpPr txBox="1"/>
          </xdr:nvSpPr>
          <xdr:spPr>
            <a:xfrm>
              <a:off x="638174" y="36299775"/>
              <a:ext cx="1162051"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ℎ_𝑟𝑡</a:t>
              </a:r>
              <a:r>
                <a:rPr lang="en-US" sz="1100" b="0" i="0">
                  <a:latin typeface="Cambria Math"/>
                  <a:ea typeface="Cambria Math"/>
                </a:rPr>
                <a:t>≥2∆_(𝑠,𝑠𝑙𝑖𝑝)=</a:t>
              </a:r>
              <a:endParaRPr lang="en-US" sz="1100"/>
            </a:p>
          </xdr:txBody>
        </xdr:sp>
      </mc:Fallback>
    </mc:AlternateContent>
    <xdr:clientData/>
  </xdr:oneCellAnchor>
  <xdr:oneCellAnchor>
    <xdr:from>
      <xdr:col>1</xdr:col>
      <xdr:colOff>476250</xdr:colOff>
      <xdr:row>247</xdr:row>
      <xdr:rowOff>104775</xdr:rowOff>
    </xdr:from>
    <xdr:ext cx="914400" cy="264560"/>
    <mc:AlternateContent xmlns:mc="http://schemas.openxmlformats.org/markup-compatibility/2006" xmlns:a14="http://schemas.microsoft.com/office/drawing/2010/main">
      <mc:Choice Requires="a14">
        <xdr:sp macro="" textlink="">
          <xdr:nvSpPr>
            <xdr:cNvPr id="115" name="TextBox 114">
              <a:extLst>
                <a:ext uri="{FF2B5EF4-FFF2-40B4-BE49-F238E27FC236}">
                  <a16:creationId xmlns:a16="http://schemas.microsoft.com/office/drawing/2014/main" id="{00000000-0008-0000-0300-000073000000}"/>
                </a:ext>
              </a:extLst>
            </xdr:cNvPr>
            <xdr:cNvSpPr txBox="1"/>
          </xdr:nvSpPr>
          <xdr:spPr>
            <a:xfrm>
              <a:off x="981075" y="375570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0">
                        <a:latin typeface="Cambria Math"/>
                      </a:rPr>
                      <m:t>=</m:t>
                    </m:r>
                  </m:oMath>
                </m:oMathPara>
              </a14:m>
              <a:endParaRPr lang="en-US" sz="1100"/>
            </a:p>
          </xdr:txBody>
        </xdr:sp>
      </mc:Choice>
      <mc:Fallback xmlns="">
        <xdr:sp macro="" textlink="">
          <xdr:nvSpPr>
            <xdr:cNvPr id="115" name="TextBox 114"/>
            <xdr:cNvSpPr txBox="1"/>
          </xdr:nvSpPr>
          <xdr:spPr>
            <a:xfrm>
              <a:off x="981075" y="375570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ℎ_𝑟𝑡=</a:t>
              </a:r>
              <a:endParaRPr lang="en-US" sz="1100"/>
            </a:p>
          </xdr:txBody>
        </xdr:sp>
      </mc:Fallback>
    </mc:AlternateContent>
    <xdr:clientData/>
  </xdr:oneCellAnchor>
  <xdr:oneCellAnchor>
    <xdr:from>
      <xdr:col>0</xdr:col>
      <xdr:colOff>485774</xdr:colOff>
      <xdr:row>251</xdr:row>
      <xdr:rowOff>95250</xdr:rowOff>
    </xdr:from>
    <xdr:ext cx="1590675" cy="274947"/>
    <mc:AlternateContent xmlns:mc="http://schemas.openxmlformats.org/markup-compatibility/2006" xmlns:a14="http://schemas.microsoft.com/office/drawing/2010/main">
      <mc:Choice Requires="a14">
        <xdr:sp macro="" textlink="">
          <xdr:nvSpPr>
            <xdr:cNvPr id="95" name="TextBox 94">
              <a:extLst>
                <a:ext uri="{FF2B5EF4-FFF2-40B4-BE49-F238E27FC236}">
                  <a16:creationId xmlns:a16="http://schemas.microsoft.com/office/drawing/2014/main" id="{00000000-0008-0000-0300-00005F000000}"/>
                </a:ext>
              </a:extLst>
            </xdr:cNvPr>
            <xdr:cNvSpPr txBox="1"/>
          </xdr:nvSpPr>
          <xdr:spPr>
            <a:xfrm>
              <a:off x="485774" y="37271325"/>
              <a:ext cx="1590675"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𝑠𝑃𝑇𝐹𝐸</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sub>
                    </m:sSub>
                    <m:r>
                      <a:rPr lang="en-US" sz="1100" b="0" i="0">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𝑠𝑙𝑖𝑝</m:t>
                        </m:r>
                      </m:sub>
                    </m:sSub>
                    <m:r>
                      <a:rPr lang="en-US" sz="1100" b="0" i="1">
                        <a:latin typeface="Cambria Math"/>
                      </a:rPr>
                      <m:t>=</m:t>
                    </m:r>
                  </m:oMath>
                </m:oMathPara>
              </a14:m>
              <a:endParaRPr lang="en-US" sz="1100"/>
            </a:p>
          </xdr:txBody>
        </xdr:sp>
      </mc:Choice>
      <mc:Fallback xmlns="">
        <xdr:sp macro="" textlink="">
          <xdr:nvSpPr>
            <xdr:cNvPr id="95" name="TextBox 94">
              <a:extLst>
                <a:ext uri="{FF2B5EF4-FFF2-40B4-BE49-F238E27FC236}">
                  <a16:creationId xmlns:a16="http://schemas.microsoft.com/office/drawing/2014/main" xmlns:a14="http://schemas.microsoft.com/office/drawing/2010/main" xmlns="" id="{00000000-0008-0000-0300-00005F000000}"/>
                </a:ext>
              </a:extLst>
            </xdr:cNvPr>
            <xdr:cNvSpPr txBox="1"/>
          </xdr:nvSpPr>
          <xdr:spPr>
            <a:xfrm>
              <a:off x="485774" y="37271325"/>
              <a:ext cx="1590675"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rPr>
                <a:t>𝑠𝑃𝑇𝐹𝐸=</a:t>
              </a:r>
              <a:r>
                <a:rPr lang="en-US" sz="1100" b="0" i="0">
                  <a:latin typeface="Cambria Math"/>
                  <a:ea typeface="Cambria Math"/>
                </a:rPr>
                <a:t>∆_</a:t>
              </a:r>
              <a:r>
                <a:rPr lang="en-US" sz="1100" b="0" i="0">
                  <a:latin typeface="Cambria Math"/>
                </a:rPr>
                <a:t>𝑠−</a:t>
              </a:r>
              <a:r>
                <a:rPr lang="en-US" sz="1100" b="0" i="0">
                  <a:latin typeface="Cambria Math"/>
                  <a:ea typeface="Cambria Math"/>
                </a:rPr>
                <a:t>∆_(</a:t>
              </a:r>
              <a:r>
                <a:rPr lang="en-US" sz="1100" b="0" i="0">
                  <a:latin typeface="Cambria Math"/>
                </a:rPr>
                <a:t>𝑠,𝑠𝑙𝑖𝑝)=</a:t>
              </a:r>
              <a:endParaRPr lang="en-US" sz="1100"/>
            </a:p>
          </xdr:txBody>
        </xdr:sp>
      </mc:Fallback>
    </mc:AlternateContent>
    <xdr:clientData/>
  </xdr:oneCellAnchor>
  <xdr:oneCellAnchor>
    <xdr:from>
      <xdr:col>1</xdr:col>
      <xdr:colOff>423862</xdr:colOff>
      <xdr:row>471</xdr:row>
      <xdr:rowOff>104775</xdr:rowOff>
    </xdr:from>
    <xdr:ext cx="1004888" cy="264560"/>
    <mc:AlternateContent xmlns:mc="http://schemas.openxmlformats.org/markup-compatibility/2006" xmlns:a14="http://schemas.microsoft.com/office/drawing/2010/main">
      <mc:Choice Requires="a14">
        <xdr:sp macro="" textlink="">
          <xdr:nvSpPr>
            <xdr:cNvPr id="112" name="TextBox 111">
              <a:extLst>
                <a:ext uri="{FF2B5EF4-FFF2-40B4-BE49-F238E27FC236}">
                  <a16:creationId xmlns:a16="http://schemas.microsoft.com/office/drawing/2014/main" id="{00000000-0008-0000-0300-000070000000}"/>
                </a:ext>
              </a:extLst>
            </xdr:cNvPr>
            <xdr:cNvSpPr txBox="1"/>
          </xdr:nvSpPr>
          <xdr:spPr>
            <a:xfrm>
              <a:off x="928687" y="76390500"/>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m:t>
                      </m:r>
                    </m:sub>
                  </m:sSub>
                  <m:r>
                    <a:rPr lang="en-US" sz="1100" b="0" i="1">
                      <a:latin typeface="Cambria Math"/>
                      <a:ea typeface="Cambria Math"/>
                    </a:rPr>
                    <m:t>=</m:t>
                  </m:r>
                </m:oMath>
              </a14:m>
              <a:r>
                <a:rPr lang="en-US" sz="1100"/>
                <a:t> </a:t>
              </a:r>
              <a14:m>
                <m:oMath xmlns:m="http://schemas.openxmlformats.org/officeDocument/2006/math">
                  <m:r>
                    <a:rPr lang="en-US" sz="1100" i="1">
                      <a:solidFill>
                        <a:schemeClr val="tx1"/>
                      </a:solidFill>
                      <a:effectLst/>
                      <a:latin typeface="Cambria Math"/>
                      <a:ea typeface="+mn-ea"/>
                      <a:cs typeface="+mn-cs"/>
                    </a:rPr>
                    <m:t>𝜇</m:t>
                  </m:r>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oMath>
              </a14:m>
              <a:endParaRPr lang="en-US" sz="1100"/>
            </a:p>
          </xdr:txBody>
        </xdr:sp>
      </mc:Choice>
      <mc:Fallback xmlns="">
        <xdr:sp macro="" textlink="">
          <xdr:nvSpPr>
            <xdr:cNvPr id="112" name="TextBox 111"/>
            <xdr:cNvSpPr txBox="1"/>
          </xdr:nvSpPr>
          <xdr:spPr>
            <a:xfrm>
              <a:off x="928687" y="76390500"/>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𝐻_𝑏=</a:t>
              </a:r>
              <a:r>
                <a:rPr lang="en-US" sz="1100"/>
                <a:t> </a:t>
              </a:r>
              <a:r>
                <a:rPr lang="en-US" sz="1100" i="0">
                  <a:solidFill>
                    <a:schemeClr val="tx1"/>
                  </a:solidFill>
                  <a:effectLst/>
                  <a:latin typeface="Cambria Math"/>
                  <a:ea typeface="+mn-ea"/>
                  <a:cs typeface="+mn-cs"/>
                </a:rPr>
                <a:t>𝜇</a:t>
              </a:r>
              <a:r>
                <a:rPr lang="en-US" sz="1100" b="0" i="0">
                  <a:solidFill>
                    <a:schemeClr val="tx1"/>
                  </a:solidFill>
                  <a:effectLst/>
                  <a:latin typeface="Cambria Math"/>
                  <a:ea typeface="+mn-ea"/>
                  <a:cs typeface="+mn-cs"/>
                </a:rPr>
                <a:t>𝑃_𝑚𝑖𝑛</a:t>
              </a:r>
              <a:endParaRPr lang="en-US" sz="1100"/>
            </a:p>
          </xdr:txBody>
        </xdr:sp>
      </mc:Fallback>
    </mc:AlternateContent>
    <xdr:clientData/>
  </xdr:oneCellAnchor>
  <xdr:oneCellAnchor>
    <xdr:from>
      <xdr:col>2</xdr:col>
      <xdr:colOff>271462</xdr:colOff>
      <xdr:row>482</xdr:row>
      <xdr:rowOff>135732</xdr:rowOff>
    </xdr:from>
    <xdr:ext cx="671513" cy="264560"/>
    <mc:AlternateContent xmlns:mc="http://schemas.openxmlformats.org/markup-compatibility/2006" xmlns:a14="http://schemas.microsoft.com/office/drawing/2010/main">
      <mc:Choice Requires="a14">
        <xdr:sp macro="" textlink="">
          <xdr:nvSpPr>
            <xdr:cNvPr id="113" name="TextBox 112">
              <a:extLst>
                <a:ext uri="{FF2B5EF4-FFF2-40B4-BE49-F238E27FC236}">
                  <a16:creationId xmlns:a16="http://schemas.microsoft.com/office/drawing/2014/main" id="{00000000-0008-0000-0300-000071000000}"/>
                </a:ext>
              </a:extLst>
            </xdr:cNvPr>
            <xdr:cNvSpPr txBox="1"/>
          </xdr:nvSpPr>
          <xdr:spPr>
            <a:xfrm>
              <a:off x="1281112" y="79393257"/>
              <a:ext cx="6715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𝜇</m:t>
                    </m:r>
                    <m:r>
                      <a:rPr lang="en-US" sz="1100" b="0" i="1">
                        <a:latin typeface="Cambria Math"/>
                        <a:ea typeface="Cambria Math"/>
                      </a:rPr>
                      <m:t>=</m:t>
                    </m:r>
                  </m:oMath>
                </m:oMathPara>
              </a14:m>
              <a:endParaRPr lang="en-US" sz="1100"/>
            </a:p>
          </xdr:txBody>
        </xdr:sp>
      </mc:Choice>
      <mc:Fallback xmlns="">
        <xdr:sp macro="" textlink="">
          <xdr:nvSpPr>
            <xdr:cNvPr id="113" name="TextBox 112"/>
            <xdr:cNvSpPr txBox="1"/>
          </xdr:nvSpPr>
          <xdr:spPr>
            <a:xfrm>
              <a:off x="1281112" y="79393257"/>
              <a:ext cx="6715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𝜇</a:t>
              </a:r>
              <a:r>
                <a:rPr lang="en-US" sz="1100" b="0" i="0">
                  <a:latin typeface="Cambria Math"/>
                  <a:ea typeface="Cambria Math"/>
                </a:rPr>
                <a:t>=</a:t>
              </a:r>
              <a:endParaRPr lang="en-US" sz="1100"/>
            </a:p>
          </xdr:txBody>
        </xdr:sp>
      </mc:Fallback>
    </mc:AlternateContent>
    <xdr:clientData/>
  </xdr:oneCellAnchor>
  <xdr:oneCellAnchor>
    <xdr:from>
      <xdr:col>1</xdr:col>
      <xdr:colOff>300036</xdr:colOff>
      <xdr:row>474</xdr:row>
      <xdr:rowOff>38100</xdr:rowOff>
    </xdr:from>
    <xdr:ext cx="1300163" cy="438903"/>
    <mc:AlternateContent xmlns:mc="http://schemas.openxmlformats.org/markup-compatibility/2006" xmlns:a14="http://schemas.microsoft.com/office/drawing/2010/main">
      <mc:Choice Requires="a14">
        <xdr:sp macro="" textlink="">
          <xdr:nvSpPr>
            <xdr:cNvPr id="116" name="TextBox 115">
              <a:extLst>
                <a:ext uri="{FF2B5EF4-FFF2-40B4-BE49-F238E27FC236}">
                  <a16:creationId xmlns:a16="http://schemas.microsoft.com/office/drawing/2014/main" id="{00000000-0008-0000-0300-000074000000}"/>
                </a:ext>
              </a:extLst>
            </xdr:cNvPr>
            <xdr:cNvSpPr txBox="1"/>
          </xdr:nvSpPr>
          <xdr:spPr>
            <a:xfrm>
              <a:off x="804861" y="66817875"/>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𝐺</m:t>
                        </m:r>
                      </m:e>
                      <m:sub>
                        <m:r>
                          <a:rPr lang="en-US" sz="1100" b="0" i="1">
                            <a:latin typeface="Cambria Math"/>
                            <a:ea typeface="Cambria Math"/>
                          </a:rPr>
                          <m:t>𝑚𝑖𝑛</m:t>
                        </m:r>
                      </m:sub>
                    </m:sSub>
                    <m:r>
                      <a:rPr lang="en-US" sz="1100" b="0" i="1">
                        <a:latin typeface="Cambria Math"/>
                        <a:ea typeface="Cambria Math"/>
                      </a:rPr>
                      <m:t>𝐴</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𝑠</m:t>
                            </m:r>
                          </m:sub>
                        </m:sSub>
                      </m:num>
                      <m:den>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𝑟𝑡</m:t>
                            </m:r>
                          </m:sub>
                        </m:sSub>
                      </m:den>
                    </m:f>
                  </m:oMath>
                </m:oMathPara>
              </a14:m>
              <a:endParaRPr lang="en-US" sz="1100"/>
            </a:p>
          </xdr:txBody>
        </xdr:sp>
      </mc:Choice>
      <mc:Fallback xmlns="">
        <xdr:sp macro="" textlink="">
          <xdr:nvSpPr>
            <xdr:cNvPr id="116" name="TextBox 115">
              <a:extLst>
                <a:ext uri="{FF2B5EF4-FFF2-40B4-BE49-F238E27FC236}">
                  <a16:creationId xmlns="" xmlns:a16="http://schemas.microsoft.com/office/drawing/2014/main" xmlns:a14="http://schemas.microsoft.com/office/drawing/2010/main" id="{00000000-0008-0000-0300-000074000000}"/>
                </a:ext>
              </a:extLst>
            </xdr:cNvPr>
            <xdr:cNvSpPr txBox="1"/>
          </xdr:nvSpPr>
          <xdr:spPr>
            <a:xfrm>
              <a:off x="804861" y="66817875"/>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𝐻_𝑏=𝐺_𝑚𝑖𝑛 𝐴 ∆_𝑠/ℎ_𝑟𝑡 </a:t>
              </a:r>
              <a:endParaRPr lang="en-US" sz="1100"/>
            </a:p>
          </xdr:txBody>
        </xdr:sp>
      </mc:Fallback>
    </mc:AlternateContent>
    <xdr:clientData/>
  </xdr:oneCellAnchor>
  <xdr:oneCellAnchor>
    <xdr:from>
      <xdr:col>1</xdr:col>
      <xdr:colOff>276224</xdr:colOff>
      <xdr:row>479</xdr:row>
      <xdr:rowOff>19050</xdr:rowOff>
    </xdr:from>
    <xdr:ext cx="1609725" cy="442301"/>
    <mc:AlternateContent xmlns:mc="http://schemas.openxmlformats.org/markup-compatibility/2006" xmlns:a14="http://schemas.microsoft.com/office/drawing/2010/main">
      <mc:Choice Requires="a14">
        <xdr:sp macro="" textlink="">
          <xdr:nvSpPr>
            <xdr:cNvPr id="117" name="TextBox 116">
              <a:extLst>
                <a:ext uri="{FF2B5EF4-FFF2-40B4-BE49-F238E27FC236}">
                  <a16:creationId xmlns:a16="http://schemas.microsoft.com/office/drawing/2014/main" id="{00000000-0008-0000-0300-000075000000}"/>
                </a:ext>
              </a:extLst>
            </xdr:cNvPr>
            <xdr:cNvSpPr txBox="1"/>
          </xdr:nvSpPr>
          <xdr:spPr>
            <a:xfrm>
              <a:off x="781049" y="78876525"/>
              <a:ext cx="1609725"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𝑠</m:t>
                        </m:r>
                        <m:r>
                          <a:rPr lang="en-US" sz="1100" b="0" i="1">
                            <a:latin typeface="Cambria Math"/>
                            <a:ea typeface="Cambria Math"/>
                          </a:rPr>
                          <m:t>,</m:t>
                        </m:r>
                        <m:r>
                          <a:rPr lang="en-US" sz="1100" b="0" i="1">
                            <a:latin typeface="Cambria Math"/>
                          </a:rPr>
                          <m:t>𝑎𝑙𝑙𝑜𝑤</m:t>
                        </m:r>
                      </m:sub>
                    </m:sSub>
                    <m:r>
                      <a:rPr lang="en-US" sz="1100" b="0" i="1">
                        <a:latin typeface="Cambria Math"/>
                      </a:rPr>
                      <m:t>=</m:t>
                    </m:r>
                    <m:f>
                      <m:fPr>
                        <m:ctrlPr>
                          <a:rPr lang="en-US" sz="1100" b="0" i="1">
                            <a:latin typeface="Cambria Math" panose="02040503050406030204" pitchFamily="18" charset="0"/>
                          </a:rPr>
                        </m:ctrlPr>
                      </m:fPr>
                      <m:num>
                        <m:r>
                          <a:rPr lang="en-US" sz="1100" b="0" i="1">
                            <a:solidFill>
                              <a:schemeClr val="tx1"/>
                            </a:solidFill>
                            <a:effectLst/>
                            <a:latin typeface="Cambria Math"/>
                            <a:ea typeface="+mn-ea"/>
                            <a:cs typeface="+mn-cs"/>
                          </a:rPr>
                          <m:t>𝜇</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r>
                          <a:rPr lang="en-US" sz="1100" b="0" i="1">
                            <a:latin typeface="Cambria Math"/>
                          </a:rPr>
                          <m:t>𝐴</m:t>
                        </m:r>
                      </m:den>
                    </m:f>
                    <m:r>
                      <a:rPr lang="en-US" sz="1100" b="0" i="1">
                        <a:latin typeface="Cambria Math"/>
                      </a:rPr>
                      <m:t>=</m:t>
                    </m:r>
                  </m:oMath>
                </m:oMathPara>
              </a14:m>
              <a:endParaRPr lang="en-US" sz="1100"/>
            </a:p>
          </xdr:txBody>
        </xdr:sp>
      </mc:Choice>
      <mc:Fallback xmlns="">
        <xdr:sp macro="" textlink="">
          <xdr:nvSpPr>
            <xdr:cNvPr id="117" name="TextBox 116">
              <a:extLst>
                <a:ext uri="{FF2B5EF4-FFF2-40B4-BE49-F238E27FC236}">
                  <a16:creationId xmlns="" xmlns:a16="http://schemas.microsoft.com/office/drawing/2014/main" xmlns:a14="http://schemas.microsoft.com/office/drawing/2010/main" id="{00000000-0008-0000-0300-000075000000}"/>
                </a:ext>
              </a:extLst>
            </xdr:cNvPr>
            <xdr:cNvSpPr txBox="1"/>
          </xdr:nvSpPr>
          <xdr:spPr>
            <a:xfrm>
              <a:off x="781049" y="78876525"/>
              <a:ext cx="1609725"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ea typeface="Cambria Math"/>
                </a:rPr>
                <a:t>𝑠,</a:t>
              </a:r>
              <a:r>
                <a:rPr lang="en-US" sz="1100" b="0" i="0">
                  <a:latin typeface="Cambria Math"/>
                </a:rPr>
                <a:t>𝑎𝑙𝑙𝑜𝑤)=(</a:t>
              </a:r>
              <a:r>
                <a:rPr lang="en-US" sz="1100" b="0" i="0">
                  <a:solidFill>
                    <a:schemeClr val="tx1"/>
                  </a:solidFill>
                  <a:effectLst/>
                  <a:latin typeface="Cambria Math"/>
                  <a:ea typeface="+mn-ea"/>
                  <a:cs typeface="+mn-cs"/>
                </a:rPr>
                <a:t>𝜇𝑃_𝑚𝑖𝑛 ℎ_𝑟𝑡)/(𝐺_𝑚𝑖𝑛 </a:t>
              </a:r>
              <a:r>
                <a:rPr lang="en-US" sz="1100" b="0" i="0">
                  <a:latin typeface="Cambria Math"/>
                </a:rPr>
                <a:t>𝐴)=</a:t>
              </a:r>
              <a:endParaRPr lang="en-US" sz="1100"/>
            </a:p>
          </xdr:txBody>
        </xdr:sp>
      </mc:Fallback>
    </mc:AlternateContent>
    <xdr:clientData/>
  </xdr:oneCellAnchor>
  <xdr:oneCellAnchor>
    <xdr:from>
      <xdr:col>1</xdr:col>
      <xdr:colOff>450056</xdr:colOff>
      <xdr:row>484</xdr:row>
      <xdr:rowOff>145256</xdr:rowOff>
    </xdr:from>
    <xdr:ext cx="914400" cy="264560"/>
    <mc:AlternateContent xmlns:mc="http://schemas.openxmlformats.org/markup-compatibility/2006" xmlns:a14="http://schemas.microsoft.com/office/drawing/2010/main">
      <mc:Choice Requires="a14">
        <xdr:sp macro="" textlink="">
          <xdr:nvSpPr>
            <xdr:cNvPr id="119" name="TextBox 118">
              <a:extLst>
                <a:ext uri="{FF2B5EF4-FFF2-40B4-BE49-F238E27FC236}">
                  <a16:creationId xmlns:a16="http://schemas.microsoft.com/office/drawing/2014/main" id="{00000000-0008-0000-0300-000077000000}"/>
                </a:ext>
              </a:extLst>
            </xdr:cNvPr>
            <xdr:cNvSpPr txBox="1"/>
          </xdr:nvSpPr>
          <xdr:spPr>
            <a:xfrm>
              <a:off x="954881" y="79726631"/>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𝐴</m:t>
                    </m:r>
                    <m:r>
                      <a:rPr lang="en-US" sz="1100" b="0" i="1">
                        <a:latin typeface="Cambria Math"/>
                      </a:rPr>
                      <m:t>=</m:t>
                    </m:r>
                    <m:r>
                      <a:rPr lang="en-US" sz="1100" b="0" i="1">
                        <a:latin typeface="Cambria Math"/>
                      </a:rPr>
                      <m:t>𝐿𝑊</m:t>
                    </m:r>
                    <m:r>
                      <a:rPr lang="en-US" sz="1100" b="0" i="1">
                        <a:latin typeface="Cambria Math"/>
                      </a:rPr>
                      <m:t>=</m:t>
                    </m:r>
                  </m:oMath>
                </m:oMathPara>
              </a14:m>
              <a:endParaRPr lang="en-US" sz="1100"/>
            </a:p>
          </xdr:txBody>
        </xdr:sp>
      </mc:Choice>
      <mc:Fallback xmlns="">
        <xdr:sp macro="" textlink="">
          <xdr:nvSpPr>
            <xdr:cNvPr id="119" name="TextBox 118"/>
            <xdr:cNvSpPr txBox="1"/>
          </xdr:nvSpPr>
          <xdr:spPr>
            <a:xfrm>
              <a:off x="954881" y="79726631"/>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𝐴=𝐿𝑊=</a:t>
              </a:r>
              <a:endParaRPr lang="en-US" sz="1100"/>
            </a:p>
          </xdr:txBody>
        </xdr:sp>
      </mc:Fallback>
    </mc:AlternateContent>
    <xdr:clientData/>
  </xdr:oneCellAnchor>
  <xdr:oneCellAnchor>
    <xdr:from>
      <xdr:col>2</xdr:col>
      <xdr:colOff>100013</xdr:colOff>
      <xdr:row>485</xdr:row>
      <xdr:rowOff>126206</xdr:rowOff>
    </xdr:from>
    <xdr:ext cx="914400" cy="264560"/>
    <mc:AlternateContent xmlns:mc="http://schemas.openxmlformats.org/markup-compatibility/2006" xmlns:a14="http://schemas.microsoft.com/office/drawing/2010/main">
      <mc:Choice Requires="a14">
        <xdr:sp macro="" textlink="">
          <xdr:nvSpPr>
            <xdr:cNvPr id="120" name="TextBox 119">
              <a:extLst>
                <a:ext uri="{FF2B5EF4-FFF2-40B4-BE49-F238E27FC236}">
                  <a16:creationId xmlns:a16="http://schemas.microsoft.com/office/drawing/2014/main" id="{00000000-0008-0000-0300-000078000000}"/>
                </a:ext>
              </a:extLst>
            </xdr:cNvPr>
            <xdr:cNvSpPr txBox="1"/>
          </xdr:nvSpPr>
          <xdr:spPr>
            <a:xfrm>
              <a:off x="1109663" y="798695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1">
                        <a:latin typeface="Cambria Math"/>
                      </a:rPr>
                      <m:t>=</m:t>
                    </m:r>
                  </m:oMath>
                </m:oMathPara>
              </a14:m>
              <a:endParaRPr lang="en-US" sz="1100"/>
            </a:p>
          </xdr:txBody>
        </xdr:sp>
      </mc:Choice>
      <mc:Fallback xmlns="">
        <xdr:sp macro="" textlink="">
          <xdr:nvSpPr>
            <xdr:cNvPr id="120" name="TextBox 119"/>
            <xdr:cNvSpPr txBox="1"/>
          </xdr:nvSpPr>
          <xdr:spPr>
            <a:xfrm>
              <a:off x="1109663" y="798695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ℎ_𝑟𝑡=</a:t>
              </a:r>
              <a:endParaRPr lang="en-US" sz="1100"/>
            </a:p>
          </xdr:txBody>
        </xdr:sp>
      </mc:Fallback>
    </mc:AlternateContent>
    <xdr:clientData/>
  </xdr:oneCellAnchor>
  <xdr:oneCellAnchor>
    <xdr:from>
      <xdr:col>2</xdr:col>
      <xdr:colOff>638175</xdr:colOff>
      <xdr:row>488</xdr:row>
      <xdr:rowOff>95250</xdr:rowOff>
    </xdr:from>
    <xdr:ext cx="914400" cy="269304"/>
    <mc:AlternateContent xmlns:mc="http://schemas.openxmlformats.org/markup-compatibility/2006" xmlns:a14="http://schemas.microsoft.com/office/drawing/2010/main">
      <mc:Choice Requires="a14">
        <xdr:sp macro="" textlink="">
          <xdr:nvSpPr>
            <xdr:cNvPr id="121" name="TextBox 120">
              <a:extLst>
                <a:ext uri="{FF2B5EF4-FFF2-40B4-BE49-F238E27FC236}">
                  <a16:creationId xmlns:a16="http://schemas.microsoft.com/office/drawing/2014/main" id="{00000000-0008-0000-0300-000079000000}"/>
                </a:ext>
              </a:extLst>
            </xdr:cNvPr>
            <xdr:cNvSpPr txBox="1"/>
          </xdr:nvSpPr>
          <xdr:spPr>
            <a:xfrm>
              <a:off x="1647825" y="80352900"/>
              <a:ext cx="91440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𝑎𝑙𝑙𝑜𝑤</m:t>
                        </m:r>
                      </m:sub>
                    </m:sSub>
                    <m:r>
                      <a:rPr lang="en-US" sz="1100" b="0" i="0">
                        <a:solidFill>
                          <a:schemeClr val="tx1"/>
                        </a:solidFill>
                        <a:effectLst/>
                        <a:latin typeface="Cambria Math"/>
                        <a:ea typeface="+mn-ea"/>
                        <a:cs typeface="+mn-cs"/>
                      </a:rPr>
                      <m:t> =</m:t>
                    </m:r>
                  </m:oMath>
                </m:oMathPara>
              </a14:m>
              <a:endParaRPr lang="en-US" sz="1100"/>
            </a:p>
          </xdr:txBody>
        </xdr:sp>
      </mc:Choice>
      <mc:Fallback xmlns="">
        <xdr:sp macro="" textlink="">
          <xdr:nvSpPr>
            <xdr:cNvPr id="121" name="TextBox 120">
              <a:extLst>
                <a:ext uri="{FF2B5EF4-FFF2-40B4-BE49-F238E27FC236}">
                  <a16:creationId xmlns="" xmlns:a16="http://schemas.microsoft.com/office/drawing/2014/main" xmlns:a14="http://schemas.microsoft.com/office/drawing/2010/main" id="{00000000-0008-0000-0300-000079000000}"/>
                </a:ext>
              </a:extLst>
            </xdr:cNvPr>
            <xdr:cNvSpPr txBox="1"/>
          </xdr:nvSpPr>
          <xdr:spPr>
            <a:xfrm>
              <a:off x="1647825" y="80352900"/>
              <a:ext cx="91440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𝑠,𝑎𝑙𝑙𝑜𝑤)  =</a:t>
              </a:r>
              <a:endParaRPr lang="en-US" sz="1100"/>
            </a:p>
          </xdr:txBody>
        </xdr:sp>
      </mc:Fallback>
    </mc:AlternateContent>
    <xdr:clientData/>
  </xdr:oneCellAnchor>
  <xdr:oneCellAnchor>
    <xdr:from>
      <xdr:col>5</xdr:col>
      <xdr:colOff>485775</xdr:colOff>
      <xdr:row>488</xdr:row>
      <xdr:rowOff>104775</xdr:rowOff>
    </xdr:from>
    <xdr:ext cx="914400" cy="274947"/>
    <mc:AlternateContent xmlns:mc="http://schemas.openxmlformats.org/markup-compatibility/2006" xmlns:a14="http://schemas.microsoft.com/office/drawing/2010/main">
      <mc:Choice Requires="a14">
        <xdr:sp macro="" textlink="">
          <xdr:nvSpPr>
            <xdr:cNvPr id="122" name="TextBox 121">
              <a:extLst>
                <a:ext uri="{FF2B5EF4-FFF2-40B4-BE49-F238E27FC236}">
                  <a16:creationId xmlns:a16="http://schemas.microsoft.com/office/drawing/2014/main" id="{00000000-0008-0000-0300-00007A000000}"/>
                </a:ext>
              </a:extLst>
            </xdr:cNvPr>
            <xdr:cNvSpPr txBox="1"/>
          </xdr:nvSpPr>
          <xdr:spPr>
            <a:xfrm>
              <a:off x="3543300" y="80362425"/>
              <a:ext cx="9144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𝑠𝑙𝑖𝑝</m:t>
                        </m:r>
                      </m:sub>
                    </m:sSub>
                    <m:r>
                      <a:rPr lang="en-US" sz="1100" b="0" i="1">
                        <a:solidFill>
                          <a:schemeClr val="tx1"/>
                        </a:solidFill>
                        <a:effectLst/>
                        <a:latin typeface="Cambria Math"/>
                        <a:ea typeface="+mn-ea"/>
                        <a:cs typeface="+mn-cs"/>
                      </a:rPr>
                      <m:t> =</m:t>
                    </m:r>
                  </m:oMath>
                </m:oMathPara>
              </a14:m>
              <a:endParaRPr lang="en-US" sz="1100"/>
            </a:p>
          </xdr:txBody>
        </xdr:sp>
      </mc:Choice>
      <mc:Fallback xmlns="">
        <xdr:sp macro="" textlink="">
          <xdr:nvSpPr>
            <xdr:cNvPr id="122" name="TextBox 121">
              <a:extLst>
                <a:ext uri="{FF2B5EF4-FFF2-40B4-BE49-F238E27FC236}">
                  <a16:creationId xmlns="" xmlns:a16="http://schemas.microsoft.com/office/drawing/2014/main" xmlns:a14="http://schemas.microsoft.com/office/drawing/2010/main" id="{00000000-0008-0000-0300-00007A000000}"/>
                </a:ext>
              </a:extLst>
            </xdr:cNvPr>
            <xdr:cNvSpPr txBox="1"/>
          </xdr:nvSpPr>
          <xdr:spPr>
            <a:xfrm>
              <a:off x="3543300" y="80362425"/>
              <a:ext cx="9144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𝑠,𝑠𝑙𝑖𝑝)  =</a:t>
              </a:r>
              <a:endParaRPr lang="en-US" sz="1100"/>
            </a:p>
          </xdr:txBody>
        </xdr:sp>
      </mc:Fallback>
    </mc:AlternateContent>
    <xdr:clientData/>
  </xdr:oneCellAnchor>
  <xdr:twoCellAnchor editAs="oneCell">
    <xdr:from>
      <xdr:col>2</xdr:col>
      <xdr:colOff>595062</xdr:colOff>
      <xdr:row>80</xdr:row>
      <xdr:rowOff>137865</xdr:rowOff>
    </xdr:from>
    <xdr:to>
      <xdr:col>10</xdr:col>
      <xdr:colOff>128882</xdr:colOff>
      <xdr:row>92</xdr:row>
      <xdr:rowOff>134766</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1604712" y="13120440"/>
          <a:ext cx="4393334" cy="1940000"/>
        </a:xfrm>
        <a:prstGeom prst="rect">
          <a:avLst/>
        </a:prstGeom>
      </xdr:spPr>
    </xdr:pic>
    <xdr:clientData/>
  </xdr:twoCellAnchor>
  <xdr:twoCellAnchor editAs="oneCell">
    <xdr:from>
      <xdr:col>2</xdr:col>
      <xdr:colOff>400050</xdr:colOff>
      <xdr:row>48</xdr:row>
      <xdr:rowOff>66675</xdr:rowOff>
    </xdr:from>
    <xdr:to>
      <xdr:col>8</xdr:col>
      <xdr:colOff>43343</xdr:colOff>
      <xdr:row>64</xdr:row>
      <xdr:rowOff>11769</xdr:rowOff>
    </xdr:to>
    <xdr:pic>
      <xdr:nvPicPr>
        <xdr:cNvPr id="123" name="Picture 122">
          <a:extLst>
            <a:ext uri="{FF2B5EF4-FFF2-40B4-BE49-F238E27FC236}">
              <a16:creationId xmlns:a16="http://schemas.microsoft.com/office/drawing/2014/main" id="{00000000-0008-0000-0300-00007B000000}"/>
            </a:ext>
          </a:extLst>
        </xdr:cNvPr>
        <xdr:cNvPicPr>
          <a:picLocks noChangeAspect="1"/>
        </xdr:cNvPicPr>
      </xdr:nvPicPr>
      <xdr:blipFill>
        <a:blip xmlns:r="http://schemas.openxmlformats.org/officeDocument/2006/relationships" r:embed="rId2"/>
        <a:stretch>
          <a:fillRect/>
        </a:stretch>
      </xdr:blipFill>
      <xdr:spPr>
        <a:xfrm>
          <a:off x="1409700" y="8315325"/>
          <a:ext cx="3312182" cy="2535893"/>
        </a:xfrm>
        <a:prstGeom prst="rect">
          <a:avLst/>
        </a:prstGeom>
      </xdr:spPr>
    </xdr:pic>
    <xdr:clientData/>
  </xdr:twoCellAnchor>
  <xdr:twoCellAnchor>
    <xdr:from>
      <xdr:col>6</xdr:col>
      <xdr:colOff>385763</xdr:colOff>
      <xdr:row>85</xdr:row>
      <xdr:rowOff>135732</xdr:rowOff>
    </xdr:from>
    <xdr:to>
      <xdr:col>8</xdr:col>
      <xdr:colOff>111919</xdr:colOff>
      <xdr:row>85</xdr:row>
      <xdr:rowOff>142875</xdr:rowOff>
    </xdr:to>
    <xdr:cxnSp macro="">
      <xdr:nvCxnSpPr>
        <xdr:cNvPr id="73" name="Straight Connector 72">
          <a:extLst>
            <a:ext uri="{FF2B5EF4-FFF2-40B4-BE49-F238E27FC236}">
              <a16:creationId xmlns:a16="http://schemas.microsoft.com/office/drawing/2014/main" id="{00000000-0008-0000-0300-000049000000}"/>
            </a:ext>
          </a:extLst>
        </xdr:cNvPr>
        <xdr:cNvCxnSpPr/>
      </xdr:nvCxnSpPr>
      <xdr:spPr>
        <a:xfrm flipH="1" flipV="1">
          <a:off x="4024313" y="13927932"/>
          <a:ext cx="935831" cy="7143"/>
        </a:xfrm>
        <a:prstGeom prst="line">
          <a:avLst/>
        </a:prstGeom>
        <a:ln>
          <a:prstDash val="dashDot"/>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709614</xdr:colOff>
      <xdr:row>130</xdr:row>
      <xdr:rowOff>109537</xdr:rowOff>
    </xdr:from>
    <xdr:ext cx="823912" cy="264560"/>
    <mc:AlternateContent xmlns:mc="http://schemas.openxmlformats.org/markup-compatibility/2006" xmlns:a14="http://schemas.microsoft.com/office/drawing/2010/main">
      <mc:Choice Requires="a14">
        <xdr:sp macro="" textlink="">
          <xdr:nvSpPr>
            <xdr:cNvPr id="124" name="TextBox 123">
              <a:extLst>
                <a:ext uri="{FF2B5EF4-FFF2-40B4-BE49-F238E27FC236}">
                  <a16:creationId xmlns:a16="http://schemas.microsoft.com/office/drawing/2014/main" id="{00000000-0008-0000-0300-00007C000000}"/>
                </a:ext>
              </a:extLst>
            </xdr:cNvPr>
            <xdr:cNvSpPr txBox="1"/>
          </xdr:nvSpPr>
          <xdr:spPr>
            <a:xfrm>
              <a:off x="1719264" y="22026562"/>
              <a:ext cx="8239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𝛼</m:t>
                        </m:r>
                      </m:e>
                      <m:sub>
                        <m:r>
                          <a:rPr lang="en-US" sz="1100" b="0" i="1">
                            <a:latin typeface="Cambria Math"/>
                            <a:ea typeface="Cambria Math"/>
                          </a:rPr>
                          <m:t>𝐴𝐴𝑆𝐻𝑇𝑂</m:t>
                        </m:r>
                      </m:sub>
                    </m:sSub>
                    <m:r>
                      <a:rPr lang="en-US" sz="1100" b="0" i="1">
                        <a:latin typeface="Cambria Math"/>
                      </a:rPr>
                      <m:t>=</m:t>
                    </m:r>
                  </m:oMath>
                </m:oMathPara>
              </a14:m>
              <a:endParaRPr lang="en-US" sz="1100"/>
            </a:p>
          </xdr:txBody>
        </xdr:sp>
      </mc:Choice>
      <mc:Fallback xmlns="">
        <xdr:sp macro="" textlink="">
          <xdr:nvSpPr>
            <xdr:cNvPr id="124" name="TextBox 123"/>
            <xdr:cNvSpPr txBox="1"/>
          </xdr:nvSpPr>
          <xdr:spPr>
            <a:xfrm>
              <a:off x="1719264" y="22026562"/>
              <a:ext cx="8239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𝛼_</a:t>
              </a:r>
              <a:r>
                <a:rPr lang="en-US" sz="1100" b="0" i="0">
                  <a:latin typeface="Cambria Math"/>
                  <a:ea typeface="Cambria Math"/>
                </a:rPr>
                <a:t>𝐴𝐴𝑆𝐻𝑇𝑂</a:t>
              </a:r>
              <a:r>
                <a:rPr lang="en-US" sz="1100" b="0" i="0">
                  <a:latin typeface="Cambria Math"/>
                </a:rPr>
                <a:t>=</a:t>
              </a:r>
              <a:endParaRPr lang="en-US" sz="1100"/>
            </a:p>
          </xdr:txBody>
        </xdr:sp>
      </mc:Fallback>
    </mc:AlternateContent>
    <xdr:clientData/>
  </xdr:oneCellAnchor>
  <xdr:oneCellAnchor>
    <xdr:from>
      <xdr:col>1</xdr:col>
      <xdr:colOff>209549</xdr:colOff>
      <xdr:row>264</xdr:row>
      <xdr:rowOff>123825</xdr:rowOff>
    </xdr:from>
    <xdr:ext cx="1838325" cy="264560"/>
    <mc:AlternateContent xmlns:mc="http://schemas.openxmlformats.org/markup-compatibility/2006" xmlns:a14="http://schemas.microsoft.com/office/drawing/2010/main">
      <mc:Choice Requires="a14">
        <xdr:sp macro="" textlink="">
          <xdr:nvSpPr>
            <xdr:cNvPr id="125" name="TextBox 124">
              <a:extLst>
                <a:ext uri="{FF2B5EF4-FFF2-40B4-BE49-F238E27FC236}">
                  <a16:creationId xmlns:a16="http://schemas.microsoft.com/office/drawing/2014/main" id="{00000000-0008-0000-0300-00007D000000}"/>
                </a:ext>
              </a:extLst>
            </xdr:cNvPr>
            <xdr:cNvSpPr txBox="1"/>
          </xdr:nvSpPr>
          <xdr:spPr>
            <a:xfrm>
              <a:off x="714374" y="43653075"/>
              <a:ext cx="1838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𝐿𝑖</m:t>
                              </m:r>
                            </m:sub>
                          </m:sSub>
                        </m:e>
                      </m:nary>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𝑟𝑖</m:t>
                      </m:r>
                    </m:sub>
                  </m:sSub>
                  <m:r>
                    <a:rPr lang="en-US" sz="1100" b="0" i="1">
                      <a:solidFill>
                        <a:schemeClr val="tx1"/>
                      </a:solidFill>
                      <a:effectLst/>
                      <a:latin typeface="Cambria Math"/>
                      <a:ea typeface="Cambria Math"/>
                      <a:cs typeface="+mn-cs"/>
                    </a:rPr>
                    <m:t>=</m:t>
                  </m:r>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Cambria Math"/>
                          <a:cs typeface="+mn-cs"/>
                        </a:rPr>
                        <m:t>𝐿𝑖</m:t>
                      </m:r>
                    </m:sub>
                  </m:sSub>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h</m:t>
                      </m:r>
                    </m:e>
                    <m:sub>
                      <m:r>
                        <a:rPr lang="en-US" sz="1100" b="0" i="1">
                          <a:solidFill>
                            <a:schemeClr val="tx1"/>
                          </a:solidFill>
                          <a:effectLst/>
                          <a:latin typeface="Cambria Math"/>
                          <a:ea typeface="Cambria Math"/>
                          <a:cs typeface="+mn-cs"/>
                        </a:rPr>
                        <m:t>𝑟𝑡</m:t>
                      </m:r>
                    </m:sub>
                  </m:sSub>
                </m:oMath>
              </a14:m>
              <a:r>
                <a:rPr lang="en-US" sz="1100"/>
                <a:t>  </a:t>
              </a:r>
            </a:p>
          </xdr:txBody>
        </xdr:sp>
      </mc:Choice>
      <mc:Fallback xmlns="">
        <xdr:sp macro="" textlink="">
          <xdr:nvSpPr>
            <xdr:cNvPr id="125" name="TextBox 124"/>
            <xdr:cNvSpPr txBox="1"/>
          </xdr:nvSpPr>
          <xdr:spPr>
            <a:xfrm>
              <a:off x="714374" y="43653075"/>
              <a:ext cx="1838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_𝐿𝑖  ℎ〗_</a:t>
              </a:r>
              <a:r>
                <a:rPr lang="en-US" sz="1100" b="0" i="0">
                  <a:solidFill>
                    <a:schemeClr val="tx1"/>
                  </a:solidFill>
                  <a:effectLst/>
                  <a:latin typeface="Cambria Math"/>
                  <a:ea typeface="Cambria Math"/>
                  <a:cs typeface="+mn-cs"/>
                </a:rPr>
                <a:t>𝑟𝑖=𝜀_𝐿𝑖 ℎ_𝑟𝑡</a:t>
              </a:r>
              <a:r>
                <a:rPr lang="en-US" sz="1100"/>
                <a:t>  </a:t>
              </a:r>
            </a:p>
          </xdr:txBody>
        </xdr:sp>
      </mc:Fallback>
    </mc:AlternateContent>
    <xdr:clientData/>
  </xdr:oneCellAnchor>
  <xdr:oneCellAnchor>
    <xdr:from>
      <xdr:col>1</xdr:col>
      <xdr:colOff>285750</xdr:colOff>
      <xdr:row>271</xdr:row>
      <xdr:rowOff>123825</xdr:rowOff>
    </xdr:from>
    <xdr:ext cx="1047750" cy="264560"/>
    <mc:AlternateContent xmlns:mc="http://schemas.openxmlformats.org/markup-compatibility/2006" xmlns:a14="http://schemas.microsoft.com/office/drawing/2010/main">
      <mc:Choice Requires="a14">
        <xdr:sp macro="" textlink="">
          <xdr:nvSpPr>
            <xdr:cNvPr id="126" name="TextBox 125">
              <a:extLst>
                <a:ext uri="{FF2B5EF4-FFF2-40B4-BE49-F238E27FC236}">
                  <a16:creationId xmlns:a16="http://schemas.microsoft.com/office/drawing/2014/main" id="{00000000-0008-0000-0300-00007E000000}"/>
                </a:ext>
              </a:extLst>
            </xdr:cNvPr>
            <xdr:cNvSpPr txBox="1"/>
          </xdr:nvSpPr>
          <xdr:spPr>
            <a:xfrm>
              <a:off x="790575" y="44786550"/>
              <a:ext cx="1047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𝐿𝑖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𝑟𝑡</m:t>
                      </m:r>
                    </m:sub>
                  </m:sSub>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126" name="TextBox 125"/>
            <xdr:cNvSpPr txBox="1"/>
          </xdr:nvSpPr>
          <xdr:spPr>
            <a:xfrm>
              <a:off x="790575" y="44786550"/>
              <a:ext cx="1047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𝜀_𝐿𝑖 ℎ_𝑟𝑡</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4</xdr:col>
      <xdr:colOff>571500</xdr:colOff>
      <xdr:row>370</xdr:row>
      <xdr:rowOff>104775</xdr:rowOff>
    </xdr:from>
    <xdr:ext cx="595313" cy="290208"/>
    <mc:AlternateContent xmlns:mc="http://schemas.openxmlformats.org/markup-compatibility/2006" xmlns:a14="http://schemas.microsoft.com/office/drawing/2010/main">
      <mc:Choice Requires="a14">
        <xdr:sp macro="" textlink="">
          <xdr:nvSpPr>
            <xdr:cNvPr id="129" name="TextBox 128">
              <a:extLst>
                <a:ext uri="{FF2B5EF4-FFF2-40B4-BE49-F238E27FC236}">
                  <a16:creationId xmlns:a16="http://schemas.microsoft.com/office/drawing/2014/main" id="{00000000-0008-0000-0300-000081000000}"/>
                </a:ext>
              </a:extLst>
            </xdr:cNvPr>
            <xdr:cNvSpPr txBox="1"/>
          </xdr:nvSpPr>
          <xdr:spPr>
            <a:xfrm>
              <a:off x="3009900" y="60340875"/>
              <a:ext cx="595313" cy="29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𝑎</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𝑠𝑡</m:t>
                        </m:r>
                      </m:sub>
                    </m:sSub>
                    <m:r>
                      <a:rPr lang="en-US" sz="1100" b="0" i="1">
                        <a:solidFill>
                          <a:schemeClr val="tx1"/>
                        </a:solidFill>
                        <a:effectLst/>
                        <a:latin typeface="Cambria Math"/>
                        <a:ea typeface="+mn-ea"/>
                        <a:cs typeface="+mn-cs"/>
                      </a:rPr>
                      <m:t>=</m:t>
                    </m:r>
                  </m:oMath>
                </m:oMathPara>
              </a14:m>
              <a:endParaRPr lang="en-US" sz="1100"/>
            </a:p>
          </xdr:txBody>
        </xdr:sp>
      </mc:Choice>
      <mc:Fallback xmlns="">
        <xdr:sp macro="" textlink="">
          <xdr:nvSpPr>
            <xdr:cNvPr id="129" name="TextBox 128"/>
            <xdr:cNvSpPr txBox="1"/>
          </xdr:nvSpPr>
          <xdr:spPr>
            <a:xfrm>
              <a:off x="3009900" y="60340875"/>
              <a:ext cx="595313" cy="29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𝑎,𝑠𝑡)=</a:t>
              </a:r>
              <a:endParaRPr lang="en-US" sz="1100"/>
            </a:p>
          </xdr:txBody>
        </xdr:sp>
      </mc:Fallback>
    </mc:AlternateContent>
    <xdr:clientData/>
  </xdr:oneCellAnchor>
  <xdr:oneCellAnchor>
    <xdr:from>
      <xdr:col>1</xdr:col>
      <xdr:colOff>359570</xdr:colOff>
      <xdr:row>483</xdr:row>
      <xdr:rowOff>123825</xdr:rowOff>
    </xdr:from>
    <xdr:ext cx="971049" cy="264560"/>
    <mc:AlternateContent xmlns:mc="http://schemas.openxmlformats.org/markup-compatibility/2006" xmlns:a14="http://schemas.microsoft.com/office/drawing/2010/main">
      <mc:Choice Requires="a14">
        <xdr:sp macro="" textlink="">
          <xdr:nvSpPr>
            <xdr:cNvPr id="130" name="TextBox 129">
              <a:extLst>
                <a:ext uri="{FF2B5EF4-FFF2-40B4-BE49-F238E27FC236}">
                  <a16:creationId xmlns:a16="http://schemas.microsoft.com/office/drawing/2014/main" id="{00000000-0008-0000-0300-000082000000}"/>
                </a:ext>
              </a:extLst>
            </xdr:cNvPr>
            <xdr:cNvSpPr txBox="1"/>
          </xdr:nvSpPr>
          <xdr:spPr>
            <a:xfrm>
              <a:off x="864395" y="79543275"/>
              <a:ext cx="971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r>
                      <a:rPr lang="en-US" sz="1100" b="0" i="1">
                        <a:solidFill>
                          <a:schemeClr val="tx1"/>
                        </a:solidFill>
                        <a:effectLst/>
                        <a:latin typeface="Cambria Math"/>
                        <a:ea typeface="+mn-ea"/>
                        <a:cs typeface="+mn-cs"/>
                      </a:rPr>
                      <m:t>=</m:t>
                    </m:r>
                    <m:r>
                      <m:rPr>
                        <m:sty m:val="p"/>
                      </m:rPr>
                      <a:rPr lang="en-US" sz="1100" b="0" i="0">
                        <a:solidFill>
                          <a:schemeClr val="tx1"/>
                        </a:solidFill>
                        <a:effectLst/>
                        <a:latin typeface="Cambria Math"/>
                        <a:ea typeface="+mn-ea"/>
                        <a:cs typeface="+mn-cs"/>
                      </a:rPr>
                      <m:t>DL</m:t>
                    </m:r>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130" name="TextBox 129"/>
            <xdr:cNvSpPr txBox="1"/>
          </xdr:nvSpPr>
          <xdr:spPr>
            <a:xfrm>
              <a:off x="864395" y="79543275"/>
              <a:ext cx="971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mn-ea"/>
                  <a:cs typeface="+mn-cs"/>
                </a:rPr>
                <a:t>𝑃_𝑚𝑖𝑛=DL=</a:t>
              </a:r>
              <a:endParaRPr lang="en-US" sz="1100"/>
            </a:p>
          </xdr:txBody>
        </xdr:sp>
      </mc:Fallback>
    </mc:AlternateContent>
    <xdr:clientData/>
  </xdr:oneCellAnchor>
  <xdr:twoCellAnchor editAs="oneCell">
    <xdr:from>
      <xdr:col>1</xdr:col>
      <xdr:colOff>57151</xdr:colOff>
      <xdr:row>69</xdr:row>
      <xdr:rowOff>9530</xdr:rowOff>
    </xdr:from>
    <xdr:to>
      <xdr:col>8</xdr:col>
      <xdr:colOff>424390</xdr:colOff>
      <xdr:row>79</xdr:row>
      <xdr:rowOff>104565</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a:stretch>
          <a:fillRect/>
        </a:stretch>
      </xdr:blipFill>
      <xdr:spPr>
        <a:xfrm>
          <a:off x="561976" y="11534780"/>
          <a:ext cx="4540953" cy="1714286"/>
        </a:xfrm>
        <a:prstGeom prst="rect">
          <a:avLst/>
        </a:prstGeom>
      </xdr:spPr>
    </xdr:pic>
    <xdr:clientData/>
  </xdr:twoCellAnchor>
  <xdr:twoCellAnchor>
    <xdr:from>
      <xdr:col>5</xdr:col>
      <xdr:colOff>128592</xdr:colOff>
      <xdr:row>76</xdr:row>
      <xdr:rowOff>83346</xdr:rowOff>
    </xdr:from>
    <xdr:to>
      <xdr:col>6</xdr:col>
      <xdr:colOff>47627</xdr:colOff>
      <xdr:row>81</xdr:row>
      <xdr:rowOff>152398</xdr:rowOff>
    </xdr:to>
    <xdr:cxnSp macro="">
      <xdr:nvCxnSpPr>
        <xdr:cNvPr id="66" name="Curved Connector 65">
          <a:extLst>
            <a:ext uri="{FF2B5EF4-FFF2-40B4-BE49-F238E27FC236}">
              <a16:creationId xmlns:a16="http://schemas.microsoft.com/office/drawing/2014/main" id="{00000000-0008-0000-0300-000042000000}"/>
            </a:ext>
          </a:extLst>
        </xdr:cNvPr>
        <xdr:cNvCxnSpPr/>
      </xdr:nvCxnSpPr>
      <xdr:spPr>
        <a:xfrm rot="16200000" flipH="1">
          <a:off x="2996808" y="12931380"/>
          <a:ext cx="878677" cy="500060"/>
        </a:xfrm>
        <a:prstGeom prst="curved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581025</xdr:colOff>
      <xdr:row>213</xdr:row>
      <xdr:rowOff>57150</xdr:rowOff>
    </xdr:from>
    <xdr:ext cx="800100" cy="437749"/>
    <mc:AlternateContent xmlns:mc="http://schemas.openxmlformats.org/markup-compatibility/2006" xmlns:a14="http://schemas.microsoft.com/office/drawing/2010/main">
      <mc:Choice Requires="a14">
        <xdr:sp macro="" textlink="">
          <xdr:nvSpPr>
            <xdr:cNvPr id="118" name="TextBox 117">
              <a:extLst>
                <a:ext uri="{FF2B5EF4-FFF2-40B4-BE49-F238E27FC236}">
                  <a16:creationId xmlns:a16="http://schemas.microsoft.com/office/drawing/2014/main" id="{00000000-0008-0000-0300-000076000000}"/>
                </a:ext>
              </a:extLst>
            </xdr:cNvPr>
            <xdr:cNvSpPr txBox="1"/>
          </xdr:nvSpPr>
          <xdr:spPr>
            <a:xfrm>
              <a:off x="2333625" y="35309175"/>
              <a:ext cx="800100" cy="437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𝑀</m:t>
                            </m:r>
                          </m:e>
                          <m:sub>
                            <m:r>
                              <a:rPr lang="en-US" sz="1100" b="0" i="1">
                                <a:latin typeface="Cambria Math"/>
                                <a:ea typeface="Cambria Math"/>
                              </a:rPr>
                              <m:t>𝑑</m:t>
                            </m:r>
                          </m:sub>
                        </m:sSub>
                      </m:num>
                      <m:den>
                        <m:r>
                          <a:rPr lang="en-US" sz="1100" b="0" i="1">
                            <a:latin typeface="Cambria Math"/>
                            <a:ea typeface="Cambria Math"/>
                          </a:rPr>
                          <m:t>1/6</m:t>
                        </m:r>
                        <m:r>
                          <a:rPr lang="en-US" sz="1100" b="0" i="1">
                            <a:latin typeface="Cambria Math"/>
                            <a:ea typeface="Cambria Math"/>
                          </a:rPr>
                          <m:t>𝑊</m:t>
                        </m:r>
                        <m:sSup>
                          <m:sSupPr>
                            <m:ctrlPr>
                              <a:rPr lang="en-US" sz="1100" b="0" i="1">
                                <a:latin typeface="Cambria Math" panose="02040503050406030204" pitchFamily="18" charset="0"/>
                                <a:ea typeface="Cambria Math"/>
                              </a:rPr>
                            </m:ctrlPr>
                          </m:sSupPr>
                          <m:e>
                            <m:r>
                              <a:rPr lang="en-US" sz="1100" b="0" i="1">
                                <a:latin typeface="Cambria Math"/>
                                <a:ea typeface="Cambria Math"/>
                              </a:rPr>
                              <m:t>𝐿</m:t>
                            </m:r>
                          </m:e>
                          <m:sup>
                            <m:r>
                              <a:rPr lang="en-US" sz="1100" b="0" i="1">
                                <a:latin typeface="Cambria Math"/>
                                <a:ea typeface="Cambria Math"/>
                              </a:rPr>
                              <m:t>2</m:t>
                            </m:r>
                          </m:sup>
                        </m:sSup>
                      </m:den>
                    </m:f>
                    <m:r>
                      <a:rPr lang="en-US" sz="1100" b="0" i="1">
                        <a:latin typeface="Cambria Math"/>
                        <a:ea typeface="Cambria Math"/>
                      </a:rPr>
                      <m:t> </m:t>
                    </m:r>
                  </m:oMath>
                </m:oMathPara>
              </a14:m>
              <a:endParaRPr lang="en-US" sz="1100"/>
            </a:p>
          </xdr:txBody>
        </xdr:sp>
      </mc:Choice>
      <mc:Fallback xmlns="">
        <xdr:sp macro="" textlink="">
          <xdr:nvSpPr>
            <xdr:cNvPr id="118" name="TextBox 117"/>
            <xdr:cNvSpPr txBox="1"/>
          </xdr:nvSpPr>
          <xdr:spPr>
            <a:xfrm>
              <a:off x="2333625" y="35309175"/>
              <a:ext cx="800100" cy="437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𝑀_𝑑/(1/6𝑊𝐿^2 )  </a:t>
              </a:r>
              <a:endParaRPr lang="en-US" sz="1100"/>
            </a:p>
          </xdr:txBody>
        </xdr:sp>
      </mc:Fallback>
    </mc:AlternateContent>
    <xdr:clientData/>
  </xdr:oneCellAnchor>
  <xdr:oneCellAnchor>
    <xdr:from>
      <xdr:col>1</xdr:col>
      <xdr:colOff>457199</xdr:colOff>
      <xdr:row>353</xdr:row>
      <xdr:rowOff>133350</xdr:rowOff>
    </xdr:from>
    <xdr:ext cx="1647825" cy="274947"/>
    <mc:AlternateContent xmlns:mc="http://schemas.openxmlformats.org/markup-compatibility/2006" xmlns:a14="http://schemas.microsoft.com/office/drawing/2010/main">
      <mc:Choice Requires="a14">
        <xdr:sp macro="" textlink="">
          <xdr:nvSpPr>
            <xdr:cNvPr id="132" name="TextBox 131">
              <a:extLst>
                <a:ext uri="{FF2B5EF4-FFF2-40B4-BE49-F238E27FC236}">
                  <a16:creationId xmlns:a16="http://schemas.microsoft.com/office/drawing/2014/main" id="{00000000-0008-0000-0300-000084000000}"/>
                </a:ext>
              </a:extLst>
            </xdr:cNvPr>
            <xdr:cNvSpPr txBox="1"/>
          </xdr:nvSpPr>
          <xdr:spPr>
            <a:xfrm>
              <a:off x="962024" y="57988200"/>
              <a:ext cx="1647825"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ea typeface="Cambria Math"/>
                          </a:rPr>
                          <m:t>𝑠</m:t>
                        </m:r>
                        <m:r>
                          <a:rPr lang="en-US" sz="1100" b="0" i="1">
                            <a:latin typeface="Cambria Math"/>
                            <a:ea typeface="Cambria Math"/>
                          </a:rPr>
                          <m:t>,</m:t>
                        </m:r>
                        <m:r>
                          <a:rPr lang="en-US" sz="1100" b="0" i="1">
                            <a:latin typeface="Cambria Math"/>
                            <a:ea typeface="Cambria Math"/>
                          </a:rPr>
                          <m:t>𝑠𝑙𝑖𝑝</m:t>
                        </m:r>
                      </m:sub>
                    </m:sSub>
                    <m:r>
                      <a:rPr lang="en-US" sz="1100" b="0" i="1">
                        <a:latin typeface="Cambria Math"/>
                        <a:ea typeface="Cambria Math"/>
                      </a:rPr>
                      <m:t>=</m:t>
                    </m:r>
                  </m:oMath>
                </m:oMathPara>
              </a14:m>
              <a:endParaRPr lang="en-US" sz="1100"/>
            </a:p>
          </xdr:txBody>
        </xdr:sp>
      </mc:Choice>
      <mc:Fallback xmlns="">
        <xdr:sp macro="" textlink="">
          <xdr:nvSpPr>
            <xdr:cNvPr id="132" name="TextBox 131">
              <a:extLst>
                <a:ext uri="{FF2B5EF4-FFF2-40B4-BE49-F238E27FC236}">
                  <a16:creationId xmlns:a16="http://schemas.microsoft.com/office/drawing/2014/main" xmlns:a14="http://schemas.microsoft.com/office/drawing/2010/main" xmlns="" id="{00000000-0008-0000-0300-000084000000}"/>
                </a:ext>
              </a:extLst>
            </xdr:cNvPr>
            <xdr:cNvSpPr txBox="1"/>
          </xdr:nvSpPr>
          <xdr:spPr>
            <a:xfrm>
              <a:off x="962024" y="57988200"/>
              <a:ext cx="1647825"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rPr>
                <a:t>𝑠,𝑠𝑡)=</a:t>
              </a:r>
              <a:r>
                <a:rPr lang="en-US" sz="1100" b="0" i="0">
                  <a:latin typeface="Cambria Math"/>
                  <a:ea typeface="Cambria Math"/>
                </a:rPr>
                <a:t>∆_(𝑠,𝑠𝑙𝑖𝑝)=</a:t>
              </a:r>
              <a:endParaRPr lang="en-US" sz="1100"/>
            </a:p>
          </xdr:txBody>
        </xdr:sp>
      </mc:Fallback>
    </mc:AlternateContent>
    <xdr:clientData/>
  </xdr:oneCellAnchor>
  <xdr:oneCellAnchor>
    <xdr:from>
      <xdr:col>1</xdr:col>
      <xdr:colOff>152400</xdr:colOff>
      <xdr:row>280</xdr:row>
      <xdr:rowOff>142875</xdr:rowOff>
    </xdr:from>
    <xdr:ext cx="1838325" cy="264560"/>
    <mc:AlternateContent xmlns:mc="http://schemas.openxmlformats.org/markup-compatibility/2006" xmlns:a14="http://schemas.microsoft.com/office/drawing/2010/main">
      <mc:Choice Requires="a14">
        <xdr:sp macro="" textlink="">
          <xdr:nvSpPr>
            <xdr:cNvPr id="131" name="TextBox 130">
              <a:extLst>
                <a:ext uri="{FF2B5EF4-FFF2-40B4-BE49-F238E27FC236}">
                  <a16:creationId xmlns:a16="http://schemas.microsoft.com/office/drawing/2014/main" id="{00000000-0008-0000-0300-000083000000}"/>
                </a:ext>
              </a:extLst>
            </xdr:cNvPr>
            <xdr:cNvSpPr txBox="1"/>
          </xdr:nvSpPr>
          <xdr:spPr>
            <a:xfrm>
              <a:off x="657225" y="46262925"/>
              <a:ext cx="1838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Cambria Math"/>
                                  <a:cs typeface="+mn-cs"/>
                                </a:rPr>
                                <m:t>𝑑</m:t>
                              </m:r>
                              <m:r>
                                <a:rPr lang="en-US" sz="1100" b="0" i="1">
                                  <a:solidFill>
                                    <a:schemeClr val="tx1"/>
                                  </a:solidFill>
                                  <a:effectLst/>
                                  <a:latin typeface="Cambria Math"/>
                                  <a:ea typeface="+mn-ea"/>
                                  <a:cs typeface="+mn-cs"/>
                                </a:rPr>
                                <m:t>𝑖</m:t>
                              </m:r>
                            </m:sub>
                          </m:sSub>
                        </m:e>
                      </m:nary>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𝑟𝑖</m:t>
                      </m:r>
                    </m:sub>
                  </m:sSub>
                  <m:r>
                    <a:rPr lang="en-US" sz="1100" b="0" i="1">
                      <a:solidFill>
                        <a:schemeClr val="tx1"/>
                      </a:solidFill>
                      <a:effectLst/>
                      <a:latin typeface="Cambria Math"/>
                      <a:ea typeface="Cambria Math"/>
                      <a:cs typeface="+mn-cs"/>
                    </a:rPr>
                    <m:t>=</m:t>
                  </m:r>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Cambria Math"/>
                          <a:cs typeface="+mn-cs"/>
                        </a:rPr>
                        <m:t>𝑑𝑖</m:t>
                      </m:r>
                    </m:sub>
                  </m:sSub>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h</m:t>
                      </m:r>
                    </m:e>
                    <m:sub>
                      <m:r>
                        <a:rPr lang="en-US" sz="1100" b="0" i="1">
                          <a:solidFill>
                            <a:schemeClr val="tx1"/>
                          </a:solidFill>
                          <a:effectLst/>
                          <a:latin typeface="Cambria Math"/>
                          <a:ea typeface="Cambria Math"/>
                          <a:cs typeface="+mn-cs"/>
                        </a:rPr>
                        <m:t>𝑟𝑡</m:t>
                      </m:r>
                    </m:sub>
                  </m:sSub>
                </m:oMath>
              </a14:m>
              <a:r>
                <a:rPr lang="en-US" sz="1100"/>
                <a:t>  </a:t>
              </a:r>
            </a:p>
          </xdr:txBody>
        </xdr:sp>
      </mc:Choice>
      <mc:Fallback xmlns="">
        <xdr:sp macro="" textlink="">
          <xdr:nvSpPr>
            <xdr:cNvPr id="131" name="TextBox 130"/>
            <xdr:cNvSpPr txBox="1"/>
          </xdr:nvSpPr>
          <xdr:spPr>
            <a:xfrm>
              <a:off x="657225" y="46262925"/>
              <a:ext cx="1838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𝑑=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a:t>
              </a:r>
              <a:r>
                <a:rPr lang="en-US" sz="1100" b="0" i="0">
                  <a:solidFill>
                    <a:schemeClr val="tx1"/>
                  </a:solidFill>
                  <a:effectLst/>
                  <a:latin typeface="Cambria Math"/>
                  <a:ea typeface="Cambria Math"/>
                  <a:cs typeface="+mn-cs"/>
                </a:rPr>
                <a:t>𝑑</a:t>
              </a:r>
              <a:r>
                <a:rPr lang="en-US" sz="1100" b="0" i="0">
                  <a:solidFill>
                    <a:schemeClr val="tx1"/>
                  </a:solidFill>
                  <a:effectLst/>
                  <a:latin typeface="Cambria Math"/>
                  <a:ea typeface="+mn-ea"/>
                  <a:cs typeface="+mn-cs"/>
                </a:rPr>
                <a:t>𝑖  ℎ〗_</a:t>
              </a:r>
              <a:r>
                <a:rPr lang="en-US" sz="1100" b="0" i="0">
                  <a:solidFill>
                    <a:schemeClr val="tx1"/>
                  </a:solidFill>
                  <a:effectLst/>
                  <a:latin typeface="Cambria Math"/>
                  <a:ea typeface="Cambria Math"/>
                  <a:cs typeface="+mn-cs"/>
                </a:rPr>
                <a:t>𝑟𝑖=𝜀_𝑑𝑖 ℎ_𝑟𝑡</a:t>
              </a:r>
              <a:r>
                <a:rPr lang="en-US" sz="1100"/>
                <a:t>  </a:t>
              </a:r>
            </a:p>
          </xdr:txBody>
        </xdr:sp>
      </mc:Fallback>
    </mc:AlternateContent>
    <xdr:clientData/>
  </xdr:oneCellAnchor>
  <xdr:oneCellAnchor>
    <xdr:from>
      <xdr:col>2</xdr:col>
      <xdr:colOff>57150</xdr:colOff>
      <xdr:row>287</xdr:row>
      <xdr:rowOff>104775</xdr:rowOff>
    </xdr:from>
    <xdr:ext cx="1123950" cy="264560"/>
    <mc:AlternateContent xmlns:mc="http://schemas.openxmlformats.org/markup-compatibility/2006" xmlns:a14="http://schemas.microsoft.com/office/drawing/2010/main">
      <mc:Choice Requires="a14">
        <xdr:sp macro="" textlink="">
          <xdr:nvSpPr>
            <xdr:cNvPr id="133" name="TextBox 132">
              <a:extLst>
                <a:ext uri="{FF2B5EF4-FFF2-40B4-BE49-F238E27FC236}">
                  <a16:creationId xmlns:a16="http://schemas.microsoft.com/office/drawing/2014/main" id="{00000000-0008-0000-0300-000085000000}"/>
                </a:ext>
              </a:extLst>
            </xdr:cNvPr>
            <xdr:cNvSpPr txBox="1"/>
          </xdr:nvSpPr>
          <xdr:spPr>
            <a:xfrm>
              <a:off x="1066800" y="47358300"/>
              <a:ext cx="1123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𝑑𝑖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𝑟𝑡</m:t>
                      </m:r>
                    </m:sub>
                  </m:sSub>
                  <m:r>
                    <a:rPr lang="en-US" sz="1100" b="0" i="1">
                      <a:latin typeface="Cambria Math"/>
                      <a:ea typeface="Cambria Math"/>
                    </a:rPr>
                    <m:t> </m:t>
                  </m:r>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133" name="TextBox 132"/>
            <xdr:cNvSpPr txBox="1"/>
          </xdr:nvSpPr>
          <xdr:spPr>
            <a:xfrm>
              <a:off x="1066800" y="47358300"/>
              <a:ext cx="1123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𝑑= 𝜀_𝑑𝑖 ℎ_𝑟𝑡  </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2</xdr:col>
      <xdr:colOff>190500</xdr:colOff>
      <xdr:row>273</xdr:row>
      <xdr:rowOff>114300</xdr:rowOff>
    </xdr:from>
    <xdr:ext cx="1147764" cy="264560"/>
    <mc:AlternateContent xmlns:mc="http://schemas.openxmlformats.org/markup-compatibility/2006" xmlns:a14="http://schemas.microsoft.com/office/drawing/2010/main">
      <mc:Choice Requires="a14">
        <xdr:sp macro="" textlink="">
          <xdr:nvSpPr>
            <xdr:cNvPr id="135" name="TextBox 134">
              <a:extLst>
                <a:ext uri="{FF2B5EF4-FFF2-40B4-BE49-F238E27FC236}">
                  <a16:creationId xmlns:a16="http://schemas.microsoft.com/office/drawing/2014/main" id="{00000000-0008-0000-0300-000087000000}"/>
                </a:ext>
              </a:extLst>
            </xdr:cNvPr>
            <xdr:cNvSpPr txBox="1"/>
          </xdr:nvSpPr>
          <xdr:spPr>
            <a:xfrm>
              <a:off x="1200150" y="4510087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≤0.125"</m:t>
                  </m:r>
                </m:oMath>
              </a14:m>
              <a:r>
                <a:rPr lang="en-US" sz="1100"/>
                <a:t> </a:t>
              </a:r>
            </a:p>
          </xdr:txBody>
        </xdr:sp>
      </mc:Choice>
      <mc:Fallback xmlns="">
        <xdr:sp macro="" textlink="">
          <xdr:nvSpPr>
            <xdr:cNvPr id="135" name="TextBox 134"/>
            <xdr:cNvSpPr txBox="1"/>
          </xdr:nvSpPr>
          <xdr:spPr>
            <a:xfrm>
              <a:off x="1200150" y="4510087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≤0.125"</a:t>
              </a:r>
              <a:r>
                <a:rPr lang="en-US" sz="1100"/>
                <a:t> </a:t>
              </a:r>
            </a:p>
          </xdr:txBody>
        </xdr:sp>
      </mc:Fallback>
    </mc:AlternateContent>
    <xdr:clientData/>
  </xdr:oneCellAnchor>
  <xdr:oneCellAnchor>
    <xdr:from>
      <xdr:col>3</xdr:col>
      <xdr:colOff>360760</xdr:colOff>
      <xdr:row>128</xdr:row>
      <xdr:rowOff>132160</xdr:rowOff>
    </xdr:from>
    <xdr:ext cx="436959" cy="26456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2113360" y="21725335"/>
              <a:ext cx="43695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𝐿</m:t>
                    </m:r>
                    <m:r>
                      <a:rPr lang="en-US" sz="1100" b="0" i="1">
                        <a:latin typeface="Cambria Math"/>
                      </a:rPr>
                      <m:t>=</m:t>
                    </m:r>
                  </m:oMath>
                </m:oMathPara>
              </a14:m>
              <a:endParaRPr lang="en-US" sz="1100"/>
            </a:p>
          </xdr:txBody>
        </xdr:sp>
      </mc:Choice>
      <mc:Fallback xmlns="">
        <xdr:sp macro="" textlink="">
          <xdr:nvSpPr>
            <xdr:cNvPr id="5" name="TextBox 4"/>
            <xdr:cNvSpPr txBox="1"/>
          </xdr:nvSpPr>
          <xdr:spPr>
            <a:xfrm>
              <a:off x="2113360" y="21725335"/>
              <a:ext cx="43695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𝐿=</a:t>
              </a:r>
              <a:endParaRPr lang="en-US" sz="1100"/>
            </a:p>
          </xdr:txBody>
        </xdr:sp>
      </mc:Fallback>
    </mc:AlternateContent>
    <xdr:clientData/>
  </xdr:oneCellAnchor>
  <xdr:oneCellAnchor>
    <xdr:from>
      <xdr:col>3</xdr:col>
      <xdr:colOff>166687</xdr:colOff>
      <xdr:row>125</xdr:row>
      <xdr:rowOff>128588</xdr:rowOff>
    </xdr:from>
    <xdr:ext cx="619125" cy="264560"/>
    <mc:AlternateContent xmlns:mc="http://schemas.openxmlformats.org/markup-compatibility/2006" xmlns:a14="http://schemas.microsoft.com/office/drawing/2010/main">
      <mc:Choice Requires="a14">
        <xdr:sp macro="" textlink="">
          <xdr:nvSpPr>
            <xdr:cNvPr id="134" name="TextBox 133">
              <a:extLst>
                <a:ext uri="{FF2B5EF4-FFF2-40B4-BE49-F238E27FC236}">
                  <a16:creationId xmlns:a16="http://schemas.microsoft.com/office/drawing/2014/main" id="{00000000-0008-0000-0300-000086000000}"/>
                </a:ext>
              </a:extLst>
            </xdr:cNvPr>
            <xdr:cNvSpPr txBox="1"/>
          </xdr:nvSpPr>
          <xdr:spPr>
            <a:xfrm>
              <a:off x="1919287" y="21245513"/>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𝑚𝑎𝑥</m:t>
                        </m:r>
                      </m:sub>
                    </m:sSub>
                    <m:r>
                      <a:rPr lang="en-US" sz="1100" b="0" i="1">
                        <a:latin typeface="Cambria Math"/>
                      </a:rPr>
                      <m:t>=</m:t>
                    </m:r>
                  </m:oMath>
                </m:oMathPara>
              </a14:m>
              <a:endParaRPr lang="en-US" sz="1100"/>
            </a:p>
          </xdr:txBody>
        </xdr:sp>
      </mc:Choice>
      <mc:Fallback xmlns="">
        <xdr:sp macro="" textlink="">
          <xdr:nvSpPr>
            <xdr:cNvPr id="134" name="TextBox 133">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919287" y="21245513"/>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𝑇_𝑚𝑎𝑥=</a:t>
              </a:r>
              <a:endParaRPr lang="en-US" sz="1100"/>
            </a:p>
          </xdr:txBody>
        </xdr:sp>
      </mc:Fallback>
    </mc:AlternateContent>
    <xdr:clientData/>
  </xdr:oneCellAnchor>
  <xdr:oneCellAnchor>
    <xdr:from>
      <xdr:col>3</xdr:col>
      <xdr:colOff>176213</xdr:colOff>
      <xdr:row>126</xdr:row>
      <xdr:rowOff>140494</xdr:rowOff>
    </xdr:from>
    <xdr:ext cx="619125" cy="264560"/>
    <mc:AlternateContent xmlns:mc="http://schemas.openxmlformats.org/markup-compatibility/2006" xmlns:a14="http://schemas.microsoft.com/office/drawing/2010/main">
      <mc:Choice Requires="a14">
        <xdr:sp macro="" textlink="">
          <xdr:nvSpPr>
            <xdr:cNvPr id="136" name="TextBox 135">
              <a:extLst>
                <a:ext uri="{FF2B5EF4-FFF2-40B4-BE49-F238E27FC236}">
                  <a16:creationId xmlns:a16="http://schemas.microsoft.com/office/drawing/2014/main" id="{00000000-0008-0000-0300-000088000000}"/>
                </a:ext>
              </a:extLst>
            </xdr:cNvPr>
            <xdr:cNvSpPr txBox="1"/>
          </xdr:nvSpPr>
          <xdr:spPr>
            <a:xfrm>
              <a:off x="1928813" y="21419344"/>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𝑚𝑖𝑛</m:t>
                        </m:r>
                      </m:sub>
                    </m:sSub>
                    <m:r>
                      <a:rPr lang="en-US" sz="1100" b="0" i="1">
                        <a:latin typeface="Cambria Math"/>
                      </a:rPr>
                      <m:t>=</m:t>
                    </m:r>
                  </m:oMath>
                </m:oMathPara>
              </a14:m>
              <a:endParaRPr lang="en-US" sz="1100"/>
            </a:p>
          </xdr:txBody>
        </xdr:sp>
      </mc:Choice>
      <mc:Fallback xmlns="">
        <xdr:sp macro="" textlink="">
          <xdr:nvSpPr>
            <xdr:cNvPr id="136" name="TextBox 135">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928813" y="21419344"/>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𝑇_𝑚𝑖𝑛=</a:t>
              </a:r>
              <a:endParaRPr lang="en-US" sz="1100"/>
            </a:p>
          </xdr:txBody>
        </xdr:sp>
      </mc:Fallback>
    </mc:AlternateContent>
    <xdr:clientData/>
  </xdr:oneCellAnchor>
  <xdr:oneCellAnchor>
    <xdr:from>
      <xdr:col>3</xdr:col>
      <xdr:colOff>266700</xdr:colOff>
      <xdr:row>127</xdr:row>
      <xdr:rowOff>119062</xdr:rowOff>
    </xdr:from>
    <xdr:ext cx="619125" cy="264560"/>
    <mc:AlternateContent xmlns:mc="http://schemas.openxmlformats.org/markup-compatibility/2006" xmlns:a14="http://schemas.microsoft.com/office/drawing/2010/main">
      <mc:Choice Requires="a14">
        <xdr:sp macro="" textlink="">
          <xdr:nvSpPr>
            <xdr:cNvPr id="137" name="TextBox 136">
              <a:extLst>
                <a:ext uri="{FF2B5EF4-FFF2-40B4-BE49-F238E27FC236}">
                  <a16:creationId xmlns:a16="http://schemas.microsoft.com/office/drawing/2014/main" id="{00000000-0008-0000-0300-000089000000}"/>
                </a:ext>
              </a:extLst>
            </xdr:cNvPr>
            <xdr:cNvSpPr txBox="1"/>
          </xdr:nvSpPr>
          <xdr:spPr>
            <a:xfrm>
              <a:off x="2019300" y="21559837"/>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𝛼</m:t>
                    </m:r>
                    <m:r>
                      <a:rPr lang="en-US" sz="1100" b="0" i="1">
                        <a:latin typeface="Cambria Math"/>
                      </a:rPr>
                      <m:t>=</m:t>
                    </m:r>
                  </m:oMath>
                </m:oMathPara>
              </a14:m>
              <a:endParaRPr lang="en-US" sz="1100"/>
            </a:p>
          </xdr:txBody>
        </xdr:sp>
      </mc:Choice>
      <mc:Fallback xmlns="">
        <xdr:sp macro="" textlink="">
          <xdr:nvSpPr>
            <xdr:cNvPr id="137" name="TextBox 136">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2019300" y="21559837"/>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𝛼</a:t>
              </a:r>
              <a:r>
                <a:rPr lang="en-US" sz="1100" b="0" i="0">
                  <a:latin typeface="Cambria Math"/>
                </a:rPr>
                <a:t>=</a:t>
              </a:r>
              <a:endParaRPr lang="en-US" sz="1100"/>
            </a:p>
          </xdr:txBody>
        </xdr:sp>
      </mc:Fallback>
    </mc:AlternateContent>
    <xdr:clientData/>
  </xdr:oneCellAnchor>
  <xdr:oneCellAnchor>
    <xdr:from>
      <xdr:col>2</xdr:col>
      <xdr:colOff>638175</xdr:colOff>
      <xdr:row>490</xdr:row>
      <xdr:rowOff>104775</xdr:rowOff>
    </xdr:from>
    <xdr:ext cx="914400" cy="269304"/>
    <mc:AlternateContent xmlns:mc="http://schemas.openxmlformats.org/markup-compatibility/2006" xmlns:a14="http://schemas.microsoft.com/office/drawing/2010/main">
      <mc:Choice Requires="a14">
        <xdr:sp macro="" textlink="">
          <xdr:nvSpPr>
            <xdr:cNvPr id="138" name="TextBox 137">
              <a:extLst>
                <a:ext uri="{FF2B5EF4-FFF2-40B4-BE49-F238E27FC236}">
                  <a16:creationId xmlns:a16="http://schemas.microsoft.com/office/drawing/2014/main" id="{00000000-0008-0000-0300-00008A000000}"/>
                </a:ext>
              </a:extLst>
            </xdr:cNvPr>
            <xdr:cNvSpPr txBox="1"/>
          </xdr:nvSpPr>
          <xdr:spPr>
            <a:xfrm>
              <a:off x="1647825" y="80686275"/>
              <a:ext cx="91440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𝑎𝑙𝑙𝑜𝑤</m:t>
                        </m:r>
                      </m:sub>
                    </m:sSub>
                    <m:r>
                      <a:rPr lang="en-US" sz="1100" b="0" i="0">
                        <a:solidFill>
                          <a:schemeClr val="tx1"/>
                        </a:solidFill>
                        <a:effectLst/>
                        <a:latin typeface="Cambria Math"/>
                        <a:ea typeface="+mn-ea"/>
                        <a:cs typeface="+mn-cs"/>
                      </a:rPr>
                      <m:t> =</m:t>
                    </m:r>
                  </m:oMath>
                </m:oMathPara>
              </a14:m>
              <a:endParaRPr lang="en-US" sz="1100"/>
            </a:p>
          </xdr:txBody>
        </xdr:sp>
      </mc:Choice>
      <mc:Fallback xmlns="">
        <xdr:sp macro="" textlink="">
          <xdr:nvSpPr>
            <xdr:cNvPr id="138" name="TextBox 137">
              <a:extLst>
                <a:ext uri="{FF2B5EF4-FFF2-40B4-BE49-F238E27FC236}">
                  <a16:creationId xmlns="" xmlns:a16="http://schemas.microsoft.com/office/drawing/2014/main" xmlns:a14="http://schemas.microsoft.com/office/drawing/2010/main" id="{00000000-0008-0000-0300-000079000000}"/>
                </a:ext>
              </a:extLst>
            </xdr:cNvPr>
            <xdr:cNvSpPr txBox="1"/>
          </xdr:nvSpPr>
          <xdr:spPr>
            <a:xfrm>
              <a:off x="1647825" y="80686275"/>
              <a:ext cx="91440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𝑠,𝑎𝑙𝑙𝑜𝑤)  =</a:t>
              </a:r>
              <a:endParaRPr lang="en-US" sz="1100"/>
            </a:p>
          </xdr:txBody>
        </xdr:sp>
      </mc:Fallback>
    </mc:AlternateContent>
    <xdr:clientData/>
  </xdr:oneCellAnchor>
  <xdr:oneCellAnchor>
    <xdr:from>
      <xdr:col>5</xdr:col>
      <xdr:colOff>476250</xdr:colOff>
      <xdr:row>490</xdr:row>
      <xdr:rowOff>85725</xdr:rowOff>
    </xdr:from>
    <xdr:ext cx="914400" cy="274947"/>
    <mc:AlternateContent xmlns:mc="http://schemas.openxmlformats.org/markup-compatibility/2006" xmlns:a14="http://schemas.microsoft.com/office/drawing/2010/main">
      <mc:Choice Requires="a14">
        <xdr:sp macro="" textlink="">
          <xdr:nvSpPr>
            <xdr:cNvPr id="139" name="TextBox 138">
              <a:extLst>
                <a:ext uri="{FF2B5EF4-FFF2-40B4-BE49-F238E27FC236}">
                  <a16:creationId xmlns:a16="http://schemas.microsoft.com/office/drawing/2014/main" id="{00000000-0008-0000-0300-00008B000000}"/>
                </a:ext>
              </a:extLst>
            </xdr:cNvPr>
            <xdr:cNvSpPr txBox="1"/>
          </xdr:nvSpPr>
          <xdr:spPr>
            <a:xfrm>
              <a:off x="3533775" y="80667225"/>
              <a:ext cx="9144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𝑠𝑙𝑖𝑝</m:t>
                        </m:r>
                      </m:sub>
                    </m:sSub>
                    <m:r>
                      <a:rPr lang="en-US" sz="1100" b="0" i="1">
                        <a:solidFill>
                          <a:schemeClr val="tx1"/>
                        </a:solidFill>
                        <a:effectLst/>
                        <a:latin typeface="Cambria Math"/>
                        <a:ea typeface="+mn-ea"/>
                        <a:cs typeface="+mn-cs"/>
                      </a:rPr>
                      <m:t> =</m:t>
                    </m:r>
                  </m:oMath>
                </m:oMathPara>
              </a14:m>
              <a:endParaRPr lang="en-US" sz="1100"/>
            </a:p>
          </xdr:txBody>
        </xdr:sp>
      </mc:Choice>
      <mc:Fallback xmlns="">
        <xdr:sp macro="" textlink="">
          <xdr:nvSpPr>
            <xdr:cNvPr id="139" name="TextBox 138">
              <a:extLst>
                <a:ext uri="{FF2B5EF4-FFF2-40B4-BE49-F238E27FC236}">
                  <a16:creationId xmlns="" xmlns:a16="http://schemas.microsoft.com/office/drawing/2014/main" xmlns:a14="http://schemas.microsoft.com/office/drawing/2010/main" id="{00000000-0008-0000-0300-00007A000000}"/>
                </a:ext>
              </a:extLst>
            </xdr:cNvPr>
            <xdr:cNvSpPr txBox="1"/>
          </xdr:nvSpPr>
          <xdr:spPr>
            <a:xfrm>
              <a:off x="3533775" y="80667225"/>
              <a:ext cx="9144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𝑠,𝑠𝑙𝑖𝑝)  =</a:t>
              </a:r>
              <a:endParaRPr lang="en-US" sz="1100"/>
            </a:p>
          </xdr:txBody>
        </xdr:sp>
      </mc:Fallback>
    </mc:AlternateContent>
    <xdr:clientData/>
  </xdr:oneCellAnchor>
  <xdr:oneCellAnchor>
    <xdr:from>
      <xdr:col>1</xdr:col>
      <xdr:colOff>223837</xdr:colOff>
      <xdr:row>488</xdr:row>
      <xdr:rowOff>128587</xdr:rowOff>
    </xdr:from>
    <xdr:ext cx="1081088" cy="26456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728662" y="80386237"/>
              <a:ext cx="10810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𝑈𝑠𝑖𝑛𝑔</m:t>
                    </m:r>
                    <m:r>
                      <a:rPr lang="en-US" sz="1100" b="0" i="1">
                        <a:latin typeface="Cambria Math"/>
                      </a:rPr>
                      <m:t> </m:t>
                    </m:r>
                    <m:sSub>
                      <m:sSubPr>
                        <m:ctrlPr>
                          <a:rPr lang="en-US" sz="1100" i="1">
                            <a:latin typeface="Cambria Math" panose="02040503050406030204" pitchFamily="18" charset="0"/>
                          </a:rPr>
                        </m:ctrlPr>
                      </m:sSubPr>
                      <m:e>
                        <m:r>
                          <a:rPr lang="en-US" sz="1100" b="0" i="1">
                            <a:latin typeface="Cambria Math"/>
                          </a:rPr>
                          <m:t> </m:t>
                        </m:r>
                        <m:r>
                          <a:rPr lang="en-US" sz="1100" b="0" i="1">
                            <a:latin typeface="Cambria Math"/>
                          </a:rPr>
                          <m:t>𝐺</m:t>
                        </m:r>
                      </m:e>
                      <m:sub>
                        <m:r>
                          <a:rPr lang="en-US" sz="1100" b="0" i="1">
                            <a:latin typeface="Cambria Math"/>
                          </a:rPr>
                          <m:t>𝑚𝑖𝑛</m:t>
                        </m:r>
                      </m:sub>
                    </m:sSub>
                    <m:r>
                      <a:rPr lang="en-US" sz="1100" b="0" i="1">
                        <a:latin typeface="Cambria Math"/>
                      </a:rPr>
                      <m:t>:</m:t>
                    </m:r>
                  </m:oMath>
                </m:oMathPara>
              </a14:m>
              <a:endParaRPr lang="en-US" sz="1100"/>
            </a:p>
          </xdr:txBody>
        </xdr:sp>
      </mc:Choice>
      <mc:Fallback xmlns="">
        <xdr:sp macro="" textlink="">
          <xdr:nvSpPr>
            <xdr:cNvPr id="8" name="TextBox 7"/>
            <xdr:cNvSpPr txBox="1"/>
          </xdr:nvSpPr>
          <xdr:spPr>
            <a:xfrm>
              <a:off x="728662" y="80386237"/>
              <a:ext cx="10810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𝑈𝑠𝑖𝑛𝑔 </a:t>
              </a:r>
              <a:r>
                <a:rPr lang="en-US" sz="1100" i="0">
                  <a:latin typeface="Cambria Math"/>
                </a:rPr>
                <a:t>〖</a:t>
              </a:r>
              <a:r>
                <a:rPr lang="en-US" sz="1100" b="0" i="0">
                  <a:latin typeface="Cambria Math"/>
                </a:rPr>
                <a:t> 𝐺〗_𝑚𝑖𝑛:</a:t>
              </a:r>
              <a:endParaRPr lang="en-US" sz="1100"/>
            </a:p>
          </xdr:txBody>
        </xdr:sp>
      </mc:Fallback>
    </mc:AlternateContent>
    <xdr:clientData/>
  </xdr:oneCellAnchor>
  <xdr:oneCellAnchor>
    <xdr:from>
      <xdr:col>1</xdr:col>
      <xdr:colOff>204787</xdr:colOff>
      <xdr:row>490</xdr:row>
      <xdr:rowOff>119062</xdr:rowOff>
    </xdr:from>
    <xdr:ext cx="1081088" cy="264560"/>
    <mc:AlternateContent xmlns:mc="http://schemas.openxmlformats.org/markup-compatibility/2006" xmlns:a14="http://schemas.microsoft.com/office/drawing/2010/main">
      <mc:Choice Requires="a14">
        <xdr:sp macro="" textlink="">
          <xdr:nvSpPr>
            <xdr:cNvPr id="140" name="TextBox 139">
              <a:extLst>
                <a:ext uri="{FF2B5EF4-FFF2-40B4-BE49-F238E27FC236}">
                  <a16:creationId xmlns:a16="http://schemas.microsoft.com/office/drawing/2014/main" id="{00000000-0008-0000-0300-00008C000000}"/>
                </a:ext>
              </a:extLst>
            </xdr:cNvPr>
            <xdr:cNvSpPr txBox="1"/>
          </xdr:nvSpPr>
          <xdr:spPr>
            <a:xfrm>
              <a:off x="709612" y="80700562"/>
              <a:ext cx="10810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𝑈𝑠𝑖𝑛𝑔</m:t>
                    </m:r>
                    <m:r>
                      <a:rPr lang="en-US" sz="1100" b="0" i="1">
                        <a:latin typeface="Cambria Math"/>
                      </a:rPr>
                      <m:t>  </m:t>
                    </m:r>
                    <m:sSub>
                      <m:sSubPr>
                        <m:ctrlPr>
                          <a:rPr lang="en-US" sz="1100" i="1">
                            <a:latin typeface="Cambria Math" panose="02040503050406030204" pitchFamily="18" charset="0"/>
                          </a:rPr>
                        </m:ctrlPr>
                      </m:sSubPr>
                      <m:e>
                        <m:r>
                          <a:rPr lang="en-US" sz="1100" b="0" i="1">
                            <a:latin typeface="Cambria Math"/>
                          </a:rPr>
                          <m:t>𝐺</m:t>
                        </m:r>
                      </m:e>
                      <m:sub>
                        <m:r>
                          <a:rPr lang="en-US" sz="1100" b="0" i="1">
                            <a:latin typeface="Cambria Math"/>
                          </a:rPr>
                          <m:t>𝑚𝑎𝑥</m:t>
                        </m:r>
                      </m:sub>
                    </m:sSub>
                    <m:r>
                      <a:rPr lang="en-US" sz="1100" b="0" i="1">
                        <a:latin typeface="Cambria Math"/>
                      </a:rPr>
                      <m:t>:</m:t>
                    </m:r>
                  </m:oMath>
                </m:oMathPara>
              </a14:m>
              <a:endParaRPr lang="en-US" sz="1100"/>
            </a:p>
          </xdr:txBody>
        </xdr:sp>
      </mc:Choice>
      <mc:Fallback xmlns="">
        <xdr:sp macro="" textlink="">
          <xdr:nvSpPr>
            <xdr:cNvPr id="140" name="TextBox 139"/>
            <xdr:cNvSpPr txBox="1"/>
          </xdr:nvSpPr>
          <xdr:spPr>
            <a:xfrm>
              <a:off x="709612" y="80700562"/>
              <a:ext cx="10810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𝑈𝑠𝑖𝑛𝑔  𝐺_𝑚𝑎𝑥:</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G686"/>
  <sheetViews>
    <sheetView tabSelected="1" zoomScaleNormal="100" zoomScaleSheetLayoutView="100" workbookViewId="0">
      <selection activeCell="A33" sqref="A33:L36"/>
    </sheetView>
  </sheetViews>
  <sheetFormatPr defaultColWidth="7.5703125" defaultRowHeight="12.75" x14ac:dyDescent="0.2"/>
  <cols>
    <col min="3" max="3" width="10" customWidth="1"/>
    <col min="4" max="4" width="10.28515625" bestFit="1" customWidth="1"/>
    <col min="5" max="5" width="9.28515625" customWidth="1"/>
    <col min="6" max="6" width="8.28515625" customWidth="1"/>
    <col min="7" max="7" width="9.5703125" bestFit="1" customWidth="1"/>
    <col min="8" max="8" width="7.5703125" customWidth="1"/>
    <col min="9" max="9" width="10" customWidth="1"/>
    <col min="10" max="10" width="7.85546875" bestFit="1" customWidth="1"/>
    <col min="11" max="11" width="2" customWidth="1"/>
    <col min="12" max="12" width="2.140625" style="8" customWidth="1"/>
    <col min="13" max="13" width="7.5703125" style="5"/>
    <col min="15" max="15" width="8.5703125" customWidth="1"/>
    <col min="16" max="17" width="8.42578125" customWidth="1"/>
    <col min="18" max="18" width="8.5703125" bestFit="1" customWidth="1"/>
    <col min="19" max="19" width="7.28515625" bestFit="1" customWidth="1"/>
    <col min="20" max="20" width="7.7109375" customWidth="1"/>
  </cols>
  <sheetData>
    <row r="1" spans="1:23" ht="15" x14ac:dyDescent="0.2">
      <c r="L1" s="166" t="s">
        <v>0</v>
      </c>
    </row>
    <row r="2" spans="1:23" ht="18" customHeight="1" x14ac:dyDescent="0.2">
      <c r="B2" s="1"/>
      <c r="C2" s="1"/>
      <c r="D2" s="1"/>
      <c r="E2" s="1"/>
      <c r="F2" s="1"/>
      <c r="G2" s="1"/>
      <c r="H2" s="1"/>
      <c r="I2" s="1"/>
      <c r="L2" s="166" t="s">
        <v>174</v>
      </c>
    </row>
    <row r="3" spans="1:23" ht="15" x14ac:dyDescent="0.2">
      <c r="L3" s="166" t="s">
        <v>42</v>
      </c>
    </row>
    <row r="4" spans="1:23" x14ac:dyDescent="0.2">
      <c r="K4" s="2"/>
    </row>
    <row r="5" spans="1:23" x14ac:dyDescent="0.2">
      <c r="A5" s="134" t="s">
        <v>1</v>
      </c>
      <c r="L5" s="3"/>
    </row>
    <row r="6" spans="1:23" ht="12.75" customHeight="1" x14ac:dyDescent="0.2">
      <c r="A6" s="44" t="s">
        <v>185</v>
      </c>
      <c r="B6" s="44"/>
      <c r="C6" s="44"/>
      <c r="D6" s="44"/>
      <c r="E6" s="44"/>
      <c r="F6" s="44"/>
      <c r="G6" s="44"/>
      <c r="H6" s="44"/>
      <c r="I6" s="44"/>
      <c r="J6" s="44"/>
      <c r="K6" s="44"/>
      <c r="L6" s="44"/>
    </row>
    <row r="7" spans="1:23" x14ac:dyDescent="0.2">
      <c r="A7" s="44"/>
      <c r="B7" s="44"/>
      <c r="C7" s="44"/>
      <c r="D7" s="44"/>
      <c r="E7" s="44"/>
      <c r="F7" s="44"/>
      <c r="G7" s="44"/>
      <c r="H7" s="44"/>
      <c r="I7" s="44"/>
      <c r="J7" s="44"/>
      <c r="K7" s="44"/>
      <c r="L7" s="44"/>
      <c r="M7" s="6"/>
    </row>
    <row r="8" spans="1:23" x14ac:dyDescent="0.2">
      <c r="A8" s="44"/>
      <c r="B8" s="44"/>
      <c r="C8" s="44"/>
      <c r="D8" s="44"/>
      <c r="E8" s="44"/>
      <c r="F8" s="44"/>
      <c r="G8" s="44"/>
      <c r="H8" s="44"/>
      <c r="I8" s="44"/>
      <c r="J8" s="44"/>
      <c r="K8" s="44"/>
      <c r="L8" s="44"/>
      <c r="M8" s="6"/>
    </row>
    <row r="9" spans="1:23" ht="20.100000000000001" customHeight="1" x14ac:dyDescent="0.2">
      <c r="A9" s="44"/>
      <c r="B9" s="44"/>
      <c r="C9" s="44"/>
      <c r="D9" s="44"/>
      <c r="E9" s="44"/>
      <c r="F9" s="44"/>
      <c r="G9" s="44"/>
      <c r="H9" s="44"/>
      <c r="I9" s="44"/>
      <c r="J9" s="44"/>
      <c r="K9" s="44"/>
      <c r="L9" s="44"/>
      <c r="M9" s="6"/>
    </row>
    <row r="10" spans="1:23" x14ac:dyDescent="0.2">
      <c r="A10" s="135" t="s">
        <v>186</v>
      </c>
      <c r="B10" s="54"/>
      <c r="C10" s="54"/>
      <c r="D10" s="54"/>
      <c r="E10" s="54"/>
      <c r="F10" s="54"/>
      <c r="G10" s="54"/>
      <c r="H10" s="54"/>
      <c r="I10" s="54"/>
      <c r="J10" s="54"/>
      <c r="K10" s="54"/>
      <c r="L10" s="54"/>
    </row>
    <row r="11" spans="1:23" ht="12.75" customHeight="1" x14ac:dyDescent="0.2">
      <c r="A11" s="54"/>
      <c r="B11" s="54"/>
      <c r="C11" s="54"/>
      <c r="D11" s="54"/>
      <c r="E11" s="54"/>
      <c r="F11" s="54"/>
      <c r="G11" s="54"/>
      <c r="H11" s="54"/>
      <c r="I11" s="54"/>
      <c r="J11" s="54"/>
      <c r="K11" s="54"/>
      <c r="L11" s="54"/>
      <c r="V11" s="11"/>
      <c r="W11" s="11"/>
    </row>
    <row r="12" spans="1:23" x14ac:dyDescent="0.2">
      <c r="A12" s="54"/>
      <c r="B12" s="54"/>
      <c r="C12" s="54"/>
      <c r="D12" s="54"/>
      <c r="E12" s="54"/>
      <c r="F12" s="54"/>
      <c r="G12" s="54"/>
      <c r="H12" s="54"/>
      <c r="I12" s="54"/>
      <c r="J12" s="54"/>
      <c r="K12" s="54"/>
      <c r="L12" s="54"/>
      <c r="V12" s="11"/>
      <c r="W12" s="11"/>
    </row>
    <row r="13" spans="1:23" x14ac:dyDescent="0.2">
      <c r="A13" s="54"/>
      <c r="B13" s="54"/>
      <c r="C13" s="54"/>
      <c r="D13" s="54"/>
      <c r="E13" s="54"/>
      <c r="F13" s="54"/>
      <c r="G13" s="54"/>
      <c r="H13" s="54"/>
      <c r="I13" s="54"/>
      <c r="J13" s="54"/>
      <c r="K13" s="54"/>
      <c r="L13" s="54"/>
      <c r="V13" s="11"/>
      <c r="W13" s="11"/>
    </row>
    <row r="14" spans="1:23" x14ac:dyDescent="0.2">
      <c r="A14" s="134" t="s">
        <v>2</v>
      </c>
    </row>
    <row r="15" spans="1:23" x14ac:dyDescent="0.2">
      <c r="A15" s="160" t="s">
        <v>27</v>
      </c>
      <c r="B15" s="30"/>
      <c r="C15" s="30"/>
      <c r="D15" s="30"/>
      <c r="E15" s="30"/>
      <c r="F15" s="30"/>
      <c r="G15" s="30"/>
      <c r="H15" s="30"/>
      <c r="I15" s="30"/>
      <c r="J15" s="30"/>
      <c r="K15" s="30"/>
      <c r="L15" s="31"/>
    </row>
    <row r="16" spans="1:23" x14ac:dyDescent="0.2">
      <c r="A16" s="30" t="s">
        <v>24</v>
      </c>
      <c r="B16" s="30"/>
      <c r="C16" s="30"/>
      <c r="D16" s="31" t="s">
        <v>209</v>
      </c>
      <c r="E16" s="161">
        <v>24</v>
      </c>
      <c r="F16" s="142" t="s">
        <v>4</v>
      </c>
      <c r="G16" s="30"/>
      <c r="H16" s="30"/>
      <c r="I16" s="30"/>
      <c r="J16" s="30"/>
      <c r="K16" s="30"/>
      <c r="L16" s="31" t="s">
        <v>159</v>
      </c>
    </row>
    <row r="17" spans="1:33" s="5" customFormat="1" x14ac:dyDescent="0.2">
      <c r="A17" s="30" t="s">
        <v>25</v>
      </c>
      <c r="B17" s="30"/>
      <c r="C17" s="30"/>
      <c r="D17" s="31" t="s">
        <v>7</v>
      </c>
      <c r="E17" s="161">
        <v>10</v>
      </c>
      <c r="F17" s="142" t="s">
        <v>4</v>
      </c>
      <c r="G17" s="30"/>
      <c r="H17" s="30"/>
      <c r="I17" s="30"/>
      <c r="J17" s="30"/>
      <c r="K17" s="30"/>
      <c r="L17" s="31" t="s">
        <v>159</v>
      </c>
      <c r="N17"/>
      <c r="O17"/>
      <c r="P17"/>
      <c r="Q17"/>
      <c r="R17"/>
      <c r="S17"/>
      <c r="T17"/>
      <c r="U17"/>
      <c r="V17"/>
      <c r="W17"/>
      <c r="X17"/>
      <c r="Y17"/>
      <c r="Z17"/>
      <c r="AA17"/>
      <c r="AB17"/>
      <c r="AC17"/>
      <c r="AD17"/>
      <c r="AE17"/>
      <c r="AF17"/>
      <c r="AG17"/>
    </row>
    <row r="18" spans="1:33" s="5" customFormat="1" x14ac:dyDescent="0.2">
      <c r="A18" s="37" t="s">
        <v>124</v>
      </c>
      <c r="B18" s="30"/>
      <c r="C18" s="30"/>
      <c r="D18" s="31"/>
      <c r="E18" s="51"/>
      <c r="F18" s="142"/>
      <c r="G18" s="30"/>
      <c r="H18" s="30"/>
      <c r="I18" s="30"/>
      <c r="J18" s="30"/>
      <c r="K18" s="30"/>
      <c r="L18" s="31"/>
      <c r="N18"/>
      <c r="O18"/>
      <c r="P18"/>
      <c r="Q18"/>
      <c r="R18"/>
      <c r="S18"/>
      <c r="T18"/>
      <c r="U18"/>
      <c r="V18"/>
      <c r="W18"/>
      <c r="X18"/>
      <c r="Y18"/>
      <c r="Z18"/>
      <c r="AA18"/>
      <c r="AB18"/>
      <c r="AC18"/>
      <c r="AD18"/>
      <c r="AE18"/>
      <c r="AF18"/>
      <c r="AG18"/>
    </row>
    <row r="19" spans="1:33" s="5" customFormat="1" ht="13.5" x14ac:dyDescent="0.2">
      <c r="A19" s="30" t="s">
        <v>44</v>
      </c>
      <c r="B19" s="30"/>
      <c r="C19" s="30"/>
      <c r="D19" s="31" t="s">
        <v>210</v>
      </c>
      <c r="E19" s="162">
        <v>0.125</v>
      </c>
      <c r="F19" s="142" t="s">
        <v>4</v>
      </c>
      <c r="G19" s="32" t="str">
        <f>IF(E19&lt;0.7*E20, "OK", "FAILS")</f>
        <v>OK</v>
      </c>
      <c r="H19" s="30"/>
      <c r="I19" s="30"/>
      <c r="J19" s="30"/>
      <c r="K19" s="30"/>
      <c r="L19" s="31" t="s">
        <v>211</v>
      </c>
      <c r="N19"/>
      <c r="O19"/>
      <c r="P19"/>
      <c r="Q19"/>
      <c r="R19"/>
      <c r="S19"/>
      <c r="T19"/>
      <c r="U19"/>
      <c r="V19"/>
      <c r="W19"/>
      <c r="X19"/>
      <c r="Y19"/>
      <c r="Z19"/>
      <c r="AA19"/>
      <c r="AB19"/>
      <c r="AC19"/>
      <c r="AD19"/>
      <c r="AE19"/>
      <c r="AF19"/>
      <c r="AG19"/>
    </row>
    <row r="20" spans="1:33" s="5" customFormat="1" ht="13.5" x14ac:dyDescent="0.2">
      <c r="A20" s="30" t="s">
        <v>46</v>
      </c>
      <c r="B20" s="30"/>
      <c r="C20" s="30"/>
      <c r="D20" s="31" t="s">
        <v>212</v>
      </c>
      <c r="E20" s="162">
        <v>0.5</v>
      </c>
      <c r="F20" s="142" t="s">
        <v>4</v>
      </c>
      <c r="G20" s="32"/>
      <c r="H20" s="30"/>
      <c r="I20" s="30"/>
      <c r="J20" s="30"/>
      <c r="K20" s="30"/>
      <c r="L20" s="31"/>
      <c r="N20"/>
      <c r="O20"/>
      <c r="P20"/>
      <c r="Q20"/>
      <c r="R20"/>
      <c r="S20"/>
      <c r="T20"/>
      <c r="U20"/>
      <c r="V20"/>
      <c r="W20"/>
      <c r="X20"/>
      <c r="Y20"/>
      <c r="Z20"/>
      <c r="AA20"/>
      <c r="AB20"/>
      <c r="AC20"/>
      <c r="AD20"/>
      <c r="AE20"/>
      <c r="AF20"/>
      <c r="AG20"/>
    </row>
    <row r="21" spans="1:33" s="5" customFormat="1" ht="13.5" x14ac:dyDescent="0.2">
      <c r="A21" s="30" t="s">
        <v>45</v>
      </c>
      <c r="B21" s="30"/>
      <c r="C21" s="30"/>
      <c r="D21" s="31" t="s">
        <v>213</v>
      </c>
      <c r="E21" s="162">
        <v>0.125</v>
      </c>
      <c r="F21" s="142" t="s">
        <v>4</v>
      </c>
      <c r="G21" s="32"/>
      <c r="H21" s="30"/>
      <c r="I21" s="30"/>
      <c r="J21" s="30"/>
      <c r="K21" s="30"/>
      <c r="L21" s="31"/>
      <c r="N21"/>
      <c r="O21"/>
      <c r="P21"/>
      <c r="Q21"/>
      <c r="R21"/>
      <c r="S21"/>
      <c r="T21"/>
      <c r="U21"/>
      <c r="V21"/>
      <c r="W21"/>
      <c r="X21"/>
      <c r="Y21"/>
      <c r="Z21"/>
      <c r="AA21"/>
      <c r="AB21"/>
      <c r="AC21"/>
      <c r="AD21"/>
      <c r="AE21"/>
      <c r="AF21"/>
      <c r="AG21"/>
    </row>
    <row r="22" spans="1:33" s="5" customFormat="1" ht="13.5" x14ac:dyDescent="0.2">
      <c r="A22" s="30" t="s">
        <v>54</v>
      </c>
      <c r="B22" s="30"/>
      <c r="C22" s="30"/>
      <c r="D22" s="31" t="s">
        <v>214</v>
      </c>
      <c r="E22" s="163">
        <v>5</v>
      </c>
      <c r="F22" s="142"/>
      <c r="G22" s="32"/>
      <c r="H22" s="30"/>
      <c r="I22" s="30"/>
      <c r="J22" s="30"/>
      <c r="K22" s="30"/>
      <c r="L22" s="31"/>
      <c r="N22"/>
      <c r="O22"/>
      <c r="P22"/>
      <c r="Q22"/>
      <c r="R22"/>
      <c r="S22"/>
      <c r="T22"/>
      <c r="U22"/>
      <c r="V22"/>
      <c r="W22"/>
      <c r="X22"/>
      <c r="Y22"/>
      <c r="Z22"/>
      <c r="AA22"/>
      <c r="AB22"/>
      <c r="AC22"/>
      <c r="AD22"/>
      <c r="AE22"/>
      <c r="AF22"/>
      <c r="AG22"/>
    </row>
    <row r="23" spans="1:33" s="5" customFormat="1" x14ac:dyDescent="0.2">
      <c r="A23" s="30" t="s">
        <v>172</v>
      </c>
      <c r="B23" s="30"/>
      <c r="C23" s="30"/>
      <c r="D23" s="31" t="s">
        <v>6</v>
      </c>
      <c r="E23" s="164">
        <f>E22</f>
        <v>5</v>
      </c>
      <c r="F23" s="142"/>
      <c r="G23" s="32"/>
      <c r="H23" s="30"/>
      <c r="I23" s="30"/>
      <c r="J23" s="30"/>
      <c r="K23" s="30"/>
      <c r="L23" s="31" t="s">
        <v>53</v>
      </c>
      <c r="N23"/>
      <c r="O23"/>
      <c r="P23"/>
      <c r="Q23"/>
      <c r="R23"/>
      <c r="S23"/>
      <c r="T23"/>
      <c r="U23"/>
      <c r="V23"/>
      <c r="W23"/>
      <c r="X23"/>
      <c r="Y23"/>
      <c r="Z23"/>
      <c r="AA23"/>
      <c r="AB23"/>
      <c r="AC23"/>
      <c r="AD23"/>
      <c r="AE23"/>
      <c r="AF23"/>
      <c r="AG23"/>
    </row>
    <row r="24" spans="1:33" s="5" customFormat="1" ht="13.5" x14ac:dyDescent="0.2">
      <c r="A24" s="30" t="s">
        <v>51</v>
      </c>
      <c r="B24" s="30"/>
      <c r="C24" s="30"/>
      <c r="D24" s="31" t="s">
        <v>215</v>
      </c>
      <c r="E24" s="165">
        <f>E20*E23+1*E19</f>
        <v>2.625</v>
      </c>
      <c r="F24" s="142" t="s">
        <v>4</v>
      </c>
      <c r="G24" s="32"/>
      <c r="H24" s="30"/>
      <c r="I24" s="30"/>
      <c r="J24" s="30"/>
      <c r="K24" s="30"/>
      <c r="L24" s="31"/>
      <c r="N24"/>
      <c r="O24"/>
      <c r="P24"/>
      <c r="Q24"/>
      <c r="R24"/>
      <c r="S24"/>
      <c r="T24"/>
      <c r="U24"/>
      <c r="V24"/>
      <c r="W24"/>
      <c r="X24"/>
      <c r="Y24"/>
      <c r="Z24"/>
      <c r="AA24"/>
      <c r="AB24"/>
      <c r="AC24"/>
      <c r="AD24"/>
      <c r="AE24"/>
      <c r="AF24"/>
      <c r="AG24"/>
    </row>
    <row r="25" spans="1:33" s="5" customFormat="1" x14ac:dyDescent="0.2">
      <c r="A25" s="30" t="s">
        <v>43</v>
      </c>
      <c r="B25" s="30"/>
      <c r="C25" s="30"/>
      <c r="D25" s="31" t="s">
        <v>216</v>
      </c>
      <c r="E25" s="165">
        <f>1*E19+E22*E20+E22*E21</f>
        <v>3.25</v>
      </c>
      <c r="F25" s="142" t="s">
        <v>4</v>
      </c>
      <c r="G25" s="32" t="str">
        <f>IF(E25&gt;=2,"OK", "FAILS")</f>
        <v>OK</v>
      </c>
      <c r="H25" s="30"/>
      <c r="I25" s="30"/>
      <c r="J25" s="30"/>
      <c r="K25" s="30"/>
      <c r="L25" s="31" t="s">
        <v>26</v>
      </c>
      <c r="N25"/>
      <c r="O25"/>
      <c r="P25"/>
      <c r="Q25"/>
      <c r="R25"/>
      <c r="S25"/>
      <c r="T25"/>
      <c r="U25"/>
      <c r="V25"/>
      <c r="W25"/>
      <c r="X25"/>
      <c r="Y25"/>
      <c r="Z25"/>
      <c r="AA25"/>
      <c r="AB25"/>
      <c r="AC25"/>
      <c r="AD25"/>
      <c r="AE25"/>
      <c r="AF25"/>
      <c r="AG25"/>
    </row>
    <row r="26" spans="1:33" s="5" customFormat="1" x14ac:dyDescent="0.2">
      <c r="A26" s="37" t="s">
        <v>135</v>
      </c>
      <c r="B26" s="30"/>
      <c r="C26" s="30"/>
      <c r="D26" s="31"/>
      <c r="E26" s="164"/>
      <c r="F26" s="142"/>
      <c r="G26" s="32"/>
      <c r="H26" s="30"/>
      <c r="I26" s="30"/>
      <c r="J26" s="30"/>
      <c r="K26" s="30"/>
      <c r="L26" s="31"/>
      <c r="N26"/>
      <c r="O26"/>
      <c r="P26"/>
      <c r="Q26"/>
      <c r="R26"/>
      <c r="S26"/>
      <c r="T26"/>
      <c r="U26"/>
      <c r="V26"/>
      <c r="W26"/>
      <c r="X26"/>
      <c r="Y26"/>
      <c r="Z26"/>
      <c r="AA26"/>
      <c r="AB26"/>
      <c r="AC26"/>
      <c r="AD26"/>
      <c r="AE26"/>
      <c r="AF26"/>
      <c r="AG26"/>
    </row>
    <row r="27" spans="1:33" s="5" customFormat="1" ht="12.75" customHeight="1" x14ac:dyDescent="0.2">
      <c r="A27" s="30" t="s">
        <v>137</v>
      </c>
      <c r="B27" s="30"/>
      <c r="C27" s="30"/>
      <c r="D27" s="31" t="s">
        <v>217</v>
      </c>
      <c r="E27" s="162">
        <f>3/32</f>
        <v>9.375E-2</v>
      </c>
      <c r="F27" s="142" t="s">
        <v>4</v>
      </c>
      <c r="G27" s="32" t="str">
        <f>IF(E27&gt;0.0625, "OK", "FAILS")</f>
        <v>OK</v>
      </c>
      <c r="H27" s="30"/>
      <c r="I27" s="30"/>
      <c r="J27" s="30"/>
      <c r="K27" s="30"/>
      <c r="L27" s="31" t="s">
        <v>136</v>
      </c>
      <c r="N27"/>
      <c r="O27"/>
      <c r="P27"/>
      <c r="Q27"/>
      <c r="R27"/>
      <c r="S27"/>
      <c r="T27"/>
      <c r="U27"/>
      <c r="V27"/>
      <c r="W27"/>
      <c r="X27"/>
      <c r="Y27"/>
      <c r="Z27"/>
      <c r="AA27"/>
      <c r="AB27"/>
      <c r="AC27"/>
      <c r="AD27"/>
      <c r="AE27"/>
      <c r="AF27"/>
      <c r="AG27"/>
    </row>
    <row r="28" spans="1:33" s="5" customFormat="1" x14ac:dyDescent="0.2">
      <c r="A28" s="37"/>
      <c r="B28" s="30"/>
      <c r="C28" s="30"/>
      <c r="D28" s="31"/>
      <c r="E28" s="164"/>
      <c r="F28" s="142"/>
      <c r="G28" s="30"/>
      <c r="H28" s="30"/>
      <c r="I28" s="30"/>
      <c r="J28" s="30"/>
      <c r="K28" s="30"/>
      <c r="L28" s="31"/>
      <c r="N28"/>
      <c r="O28"/>
      <c r="P28"/>
      <c r="Q28"/>
      <c r="R28"/>
      <c r="S28"/>
      <c r="T28"/>
      <c r="U28"/>
      <c r="V28"/>
      <c r="W28"/>
      <c r="X28"/>
      <c r="Y28"/>
      <c r="Z28"/>
      <c r="AA28"/>
      <c r="AB28"/>
      <c r="AC28"/>
      <c r="AD28"/>
      <c r="AE28"/>
      <c r="AF28"/>
      <c r="AG28"/>
    </row>
    <row r="29" spans="1:33" s="5" customFormat="1" x14ac:dyDescent="0.2">
      <c r="A29" s="160" t="s">
        <v>28</v>
      </c>
      <c r="B29" s="30"/>
      <c r="C29" s="30"/>
      <c r="D29" s="31"/>
      <c r="E29" s="51"/>
      <c r="F29" s="142"/>
      <c r="G29" s="30"/>
      <c r="H29" s="30"/>
      <c r="I29" s="30"/>
      <c r="J29" s="30"/>
      <c r="K29" s="30"/>
      <c r="L29" s="31"/>
      <c r="N29"/>
      <c r="O29"/>
      <c r="P29"/>
      <c r="Q29"/>
      <c r="R29"/>
      <c r="S29"/>
      <c r="T29"/>
      <c r="U29"/>
      <c r="V29"/>
      <c r="W29"/>
      <c r="X29"/>
      <c r="Y29"/>
      <c r="Z29"/>
      <c r="AA29"/>
      <c r="AB29"/>
      <c r="AC29"/>
      <c r="AD29"/>
      <c r="AE29"/>
      <c r="AF29"/>
      <c r="AG29"/>
    </row>
    <row r="30" spans="1:33" s="5" customFormat="1" ht="12.75" customHeight="1" x14ac:dyDescent="0.2">
      <c r="A30" s="30" t="s">
        <v>47</v>
      </c>
      <c r="B30" s="30"/>
      <c r="C30" s="30"/>
      <c r="D30" s="31" t="s">
        <v>48</v>
      </c>
      <c r="E30" s="139">
        <v>3</v>
      </c>
      <c r="F30" s="142" t="s">
        <v>150</v>
      </c>
      <c r="G30" s="30"/>
      <c r="H30" s="30"/>
      <c r="I30" s="45" t="s">
        <v>155</v>
      </c>
      <c r="J30" s="44"/>
      <c r="K30" s="44"/>
      <c r="L30" s="44"/>
      <c r="N30"/>
      <c r="O30"/>
      <c r="P30"/>
      <c r="Q30"/>
      <c r="R30"/>
      <c r="S30"/>
      <c r="T30"/>
      <c r="U30"/>
      <c r="V30"/>
      <c r="W30"/>
      <c r="X30"/>
      <c r="Y30"/>
      <c r="Z30"/>
      <c r="AA30"/>
      <c r="AB30"/>
      <c r="AC30"/>
      <c r="AD30"/>
      <c r="AE30"/>
      <c r="AF30"/>
      <c r="AG30"/>
    </row>
    <row r="31" spans="1:33" s="5" customFormat="1" x14ac:dyDescent="0.2">
      <c r="A31" s="30"/>
      <c r="B31" s="30"/>
      <c r="C31" s="30"/>
      <c r="D31" s="31"/>
      <c r="E31" s="164"/>
      <c r="F31" s="142"/>
      <c r="G31" s="30"/>
      <c r="H31" s="30"/>
      <c r="I31" s="44"/>
      <c r="J31" s="44"/>
      <c r="K31" s="44"/>
      <c r="L31" s="44"/>
      <c r="N31"/>
      <c r="O31"/>
      <c r="P31"/>
      <c r="Q31"/>
      <c r="R31"/>
      <c r="S31"/>
      <c r="T31"/>
      <c r="U31"/>
      <c r="V31"/>
      <c r="W31"/>
      <c r="X31"/>
      <c r="Y31"/>
      <c r="Z31"/>
      <c r="AA31"/>
      <c r="AB31"/>
      <c r="AC31"/>
      <c r="AD31"/>
      <c r="AE31"/>
      <c r="AF31"/>
      <c r="AG31"/>
    </row>
    <row r="32" spans="1:33" s="5" customFormat="1" x14ac:dyDescent="0.2">
      <c r="A32" s="30" t="s">
        <v>14</v>
      </c>
      <c r="B32" s="30"/>
      <c r="C32" s="30"/>
      <c r="D32" s="31"/>
      <c r="E32" s="164"/>
      <c r="F32" s="142"/>
      <c r="G32" s="30"/>
      <c r="H32" s="30"/>
      <c r="I32" s="55"/>
      <c r="J32" s="55"/>
      <c r="K32" s="55"/>
      <c r="L32" s="55"/>
      <c r="N32"/>
      <c r="O32"/>
      <c r="P32"/>
      <c r="Q32"/>
      <c r="R32"/>
      <c r="S32"/>
      <c r="T32"/>
      <c r="U32"/>
      <c r="V32"/>
      <c r="W32"/>
      <c r="X32"/>
      <c r="Y32"/>
      <c r="Z32"/>
      <c r="AA32"/>
      <c r="AB32"/>
      <c r="AC32"/>
      <c r="AD32"/>
      <c r="AE32"/>
      <c r="AF32"/>
      <c r="AG32"/>
    </row>
    <row r="33" spans="1:33" s="5" customFormat="1" ht="12.75" customHeight="1" x14ac:dyDescent="0.2">
      <c r="A33" s="44" t="s">
        <v>218</v>
      </c>
      <c r="B33" s="35"/>
      <c r="C33" s="35"/>
      <c r="D33" s="35"/>
      <c r="E33" s="35"/>
      <c r="F33" s="35"/>
      <c r="G33" s="35"/>
      <c r="H33" s="35"/>
      <c r="I33" s="35"/>
      <c r="J33" s="35"/>
      <c r="K33" s="35"/>
      <c r="L33" s="35"/>
      <c r="N33"/>
      <c r="O33"/>
      <c r="P33"/>
      <c r="Q33"/>
      <c r="R33"/>
      <c r="S33"/>
      <c r="T33"/>
      <c r="U33"/>
      <c r="V33"/>
      <c r="W33"/>
      <c r="X33"/>
      <c r="Y33"/>
      <c r="Z33"/>
      <c r="AA33"/>
      <c r="AB33"/>
      <c r="AC33"/>
      <c r="AD33"/>
      <c r="AE33"/>
      <c r="AF33"/>
      <c r="AG33"/>
    </row>
    <row r="34" spans="1:33" s="5" customFormat="1" x14ac:dyDescent="0.2">
      <c r="A34" s="35"/>
      <c r="B34" s="35"/>
      <c r="C34" s="35"/>
      <c r="D34" s="35"/>
      <c r="E34" s="35"/>
      <c r="F34" s="35"/>
      <c r="G34" s="35"/>
      <c r="H34" s="35"/>
      <c r="I34" s="35"/>
      <c r="J34" s="35"/>
      <c r="K34" s="35"/>
      <c r="L34" s="35"/>
      <c r="N34"/>
      <c r="O34"/>
      <c r="P34"/>
      <c r="Q34"/>
      <c r="R34"/>
      <c r="S34"/>
      <c r="T34"/>
      <c r="U34"/>
      <c r="V34"/>
      <c r="W34"/>
      <c r="X34"/>
      <c r="Y34"/>
      <c r="Z34"/>
      <c r="AA34"/>
      <c r="AB34"/>
      <c r="AC34"/>
      <c r="AD34"/>
      <c r="AE34"/>
      <c r="AF34"/>
      <c r="AG34"/>
    </row>
    <row r="35" spans="1:33" s="5" customFormat="1" x14ac:dyDescent="0.2">
      <c r="A35" s="35"/>
      <c r="B35" s="35"/>
      <c r="C35" s="35"/>
      <c r="D35" s="35"/>
      <c r="E35" s="35"/>
      <c r="F35" s="35"/>
      <c r="G35" s="35"/>
      <c r="H35" s="35"/>
      <c r="I35" s="35"/>
      <c r="J35" s="35"/>
      <c r="K35" s="35"/>
      <c r="L35" s="35"/>
      <c r="N35"/>
      <c r="O35"/>
      <c r="P35"/>
      <c r="Q35"/>
      <c r="R35"/>
      <c r="S35"/>
      <c r="T35"/>
      <c r="U35"/>
      <c r="V35"/>
      <c r="W35"/>
      <c r="X35"/>
      <c r="Y35"/>
      <c r="Z35"/>
      <c r="AA35"/>
      <c r="AB35"/>
      <c r="AC35"/>
      <c r="AD35"/>
      <c r="AE35"/>
      <c r="AF35"/>
      <c r="AG35"/>
    </row>
    <row r="36" spans="1:33" s="5" customFormat="1" x14ac:dyDescent="0.2">
      <c r="A36" s="35"/>
      <c r="B36" s="35"/>
      <c r="C36" s="35"/>
      <c r="D36" s="35"/>
      <c r="E36" s="35"/>
      <c r="F36" s="35"/>
      <c r="G36" s="35"/>
      <c r="H36" s="35"/>
      <c r="I36" s="35"/>
      <c r="J36" s="35"/>
      <c r="K36" s="35"/>
      <c r="L36" s="35"/>
      <c r="N36"/>
      <c r="O36"/>
      <c r="P36"/>
      <c r="Q36"/>
      <c r="R36"/>
      <c r="S36"/>
      <c r="T36"/>
      <c r="U36"/>
      <c r="V36"/>
      <c r="W36"/>
      <c r="X36"/>
      <c r="Y36"/>
      <c r="Z36"/>
      <c r="AA36"/>
      <c r="AB36"/>
      <c r="AC36"/>
      <c r="AD36"/>
      <c r="AE36"/>
      <c r="AF36"/>
      <c r="AG36"/>
    </row>
    <row r="37" spans="1:33" s="5" customFormat="1" x14ac:dyDescent="0.2">
      <c r="A37" s="30"/>
      <c r="B37" s="30"/>
      <c r="C37" s="30"/>
      <c r="D37" s="30"/>
      <c r="E37" s="30"/>
      <c r="F37" s="30"/>
      <c r="G37" s="30"/>
      <c r="H37" s="30"/>
      <c r="I37" s="30"/>
      <c r="J37" s="30"/>
      <c r="K37" s="30"/>
      <c r="L37" s="30"/>
      <c r="N37"/>
      <c r="O37"/>
      <c r="P37"/>
      <c r="Q37"/>
      <c r="R37"/>
      <c r="S37"/>
      <c r="T37"/>
      <c r="U37"/>
      <c r="V37"/>
      <c r="W37"/>
      <c r="X37"/>
      <c r="Y37"/>
      <c r="Z37"/>
      <c r="AA37"/>
      <c r="AB37"/>
      <c r="AC37"/>
      <c r="AD37"/>
      <c r="AE37"/>
      <c r="AF37"/>
      <c r="AG37"/>
    </row>
    <row r="38" spans="1:33" s="5" customFormat="1" ht="13.5" x14ac:dyDescent="0.2">
      <c r="A38" s="30"/>
      <c r="B38" s="30"/>
      <c r="C38" s="30"/>
      <c r="D38" s="31" t="s">
        <v>219</v>
      </c>
      <c r="E38" s="162">
        <v>0.15</v>
      </c>
      <c r="F38" s="142" t="s">
        <v>3</v>
      </c>
      <c r="G38" s="30"/>
      <c r="H38" s="30"/>
      <c r="I38" s="30"/>
      <c r="J38" s="30"/>
      <c r="K38" s="30"/>
      <c r="L38" s="31" t="s">
        <v>15</v>
      </c>
      <c r="N38"/>
      <c r="O38"/>
      <c r="P38"/>
      <c r="Q38"/>
      <c r="R38"/>
      <c r="S38"/>
      <c r="T38"/>
      <c r="U38"/>
      <c r="V38"/>
      <c r="W38"/>
      <c r="X38"/>
      <c r="Y38"/>
      <c r="Z38"/>
      <c r="AA38"/>
      <c r="AB38"/>
      <c r="AC38"/>
      <c r="AD38"/>
      <c r="AE38"/>
      <c r="AF38"/>
      <c r="AG38"/>
    </row>
    <row r="39" spans="1:33" s="5" customFormat="1" ht="13.5" x14ac:dyDescent="0.2">
      <c r="A39" s="30"/>
      <c r="B39" s="30"/>
      <c r="C39" s="30"/>
      <c r="D39" s="31" t="s">
        <v>220</v>
      </c>
      <c r="E39" s="165">
        <f>E38*1.15</f>
        <v>0.17249999999999999</v>
      </c>
      <c r="F39" s="142" t="s">
        <v>3</v>
      </c>
      <c r="G39" s="30"/>
      <c r="H39" s="30"/>
      <c r="I39" s="30"/>
      <c r="J39" s="30"/>
      <c r="K39" s="30"/>
      <c r="L39" s="31"/>
      <c r="N39"/>
      <c r="O39"/>
      <c r="P39"/>
      <c r="Q39"/>
      <c r="R39"/>
      <c r="S39"/>
      <c r="T39"/>
      <c r="U39"/>
      <c r="V39"/>
      <c r="W39"/>
      <c r="X39"/>
      <c r="Y39"/>
      <c r="Z39"/>
      <c r="AA39"/>
      <c r="AB39"/>
      <c r="AC39"/>
      <c r="AD39"/>
      <c r="AE39"/>
      <c r="AF39"/>
      <c r="AG39"/>
    </row>
    <row r="40" spans="1:33" s="5" customFormat="1" ht="13.5" x14ac:dyDescent="0.2">
      <c r="A40" s="30"/>
      <c r="B40" s="30"/>
      <c r="C40" s="30"/>
      <c r="D40" s="31" t="s">
        <v>221</v>
      </c>
      <c r="E40" s="165">
        <f>E38*0.85</f>
        <v>0.1275</v>
      </c>
      <c r="F40" s="142" t="s">
        <v>3</v>
      </c>
      <c r="G40" s="30"/>
      <c r="H40" s="30"/>
      <c r="I40" s="30"/>
      <c r="J40" s="30"/>
      <c r="K40" s="30"/>
      <c r="L40" s="31"/>
      <c r="N40"/>
      <c r="O40"/>
      <c r="P40"/>
      <c r="Q40"/>
      <c r="R40"/>
      <c r="S40"/>
      <c r="T40"/>
      <c r="U40"/>
      <c r="V40"/>
      <c r="W40"/>
      <c r="X40"/>
      <c r="Y40"/>
      <c r="Z40"/>
      <c r="AA40"/>
      <c r="AB40"/>
      <c r="AC40"/>
      <c r="AD40"/>
      <c r="AE40"/>
      <c r="AF40"/>
      <c r="AG40"/>
    </row>
    <row r="41" spans="1:33" s="5" customFormat="1" x14ac:dyDescent="0.2">
      <c r="A41" s="30"/>
      <c r="B41" s="30"/>
      <c r="C41" s="30"/>
      <c r="D41" s="103" t="s">
        <v>13</v>
      </c>
      <c r="E41" s="35" t="s">
        <v>151</v>
      </c>
      <c r="F41" s="35"/>
      <c r="G41" s="35"/>
      <c r="H41" s="32" t="str">
        <f>IF(AND(E40&lt;0.175, E40&gt;0.08),"OK","Fails")</f>
        <v>OK</v>
      </c>
      <c r="I41" s="30"/>
      <c r="J41" s="30"/>
      <c r="K41" s="30"/>
      <c r="L41" s="31" t="s">
        <v>49</v>
      </c>
      <c r="N41"/>
      <c r="O41"/>
      <c r="P41"/>
      <c r="Q41"/>
      <c r="R41"/>
      <c r="S41"/>
      <c r="T41"/>
      <c r="U41"/>
      <c r="V41"/>
      <c r="W41"/>
      <c r="X41"/>
      <c r="Y41"/>
      <c r="Z41"/>
      <c r="AA41"/>
      <c r="AB41"/>
      <c r="AC41"/>
      <c r="AD41"/>
      <c r="AE41"/>
      <c r="AF41"/>
      <c r="AG41"/>
    </row>
    <row r="42" spans="1:33" s="5" customFormat="1" x14ac:dyDescent="0.2">
      <c r="A42" s="30"/>
      <c r="B42" s="30"/>
      <c r="C42" s="30"/>
      <c r="D42" s="103"/>
      <c r="E42" s="30"/>
      <c r="F42" s="30"/>
      <c r="G42" s="30"/>
      <c r="H42" s="30"/>
      <c r="I42" s="30"/>
      <c r="J42" s="30"/>
      <c r="K42" s="30"/>
      <c r="L42" s="31"/>
      <c r="N42"/>
      <c r="O42"/>
      <c r="P42"/>
      <c r="Q42"/>
      <c r="R42"/>
      <c r="S42"/>
      <c r="T42"/>
      <c r="U42"/>
      <c r="V42"/>
      <c r="W42"/>
      <c r="X42"/>
      <c r="Y42"/>
      <c r="Z42"/>
      <c r="AA42"/>
      <c r="AB42"/>
      <c r="AC42"/>
      <c r="AD42"/>
      <c r="AE42"/>
      <c r="AF42"/>
      <c r="AG42"/>
    </row>
    <row r="43" spans="1:33" s="5" customFormat="1" x14ac:dyDescent="0.2">
      <c r="A43" s="30" t="s">
        <v>125</v>
      </c>
      <c r="B43" s="30"/>
      <c r="C43" s="30"/>
      <c r="D43" s="103"/>
      <c r="E43" s="143">
        <v>0.35</v>
      </c>
      <c r="F43" s="30"/>
      <c r="G43" s="30"/>
      <c r="H43" s="30"/>
      <c r="I43" s="30"/>
      <c r="J43" s="30"/>
      <c r="K43" s="30"/>
      <c r="L43" s="31" t="s">
        <v>15</v>
      </c>
      <c r="N43"/>
      <c r="O43"/>
      <c r="P43"/>
      <c r="Q43"/>
      <c r="R43"/>
      <c r="S43"/>
      <c r="T43"/>
      <c r="U43"/>
      <c r="V43"/>
      <c r="W43"/>
      <c r="X43"/>
      <c r="Y43"/>
      <c r="Z43"/>
      <c r="AA43"/>
      <c r="AB43"/>
      <c r="AC43"/>
      <c r="AD43"/>
      <c r="AE43"/>
      <c r="AF43"/>
      <c r="AG43"/>
    </row>
    <row r="44" spans="1:33" s="5" customFormat="1" x14ac:dyDescent="0.2">
      <c r="A44" s="30"/>
      <c r="B44" s="30"/>
      <c r="C44" s="30"/>
      <c r="D44" s="103"/>
      <c r="E44" s="43"/>
      <c r="F44" s="30"/>
      <c r="G44" s="30"/>
      <c r="H44" s="30"/>
      <c r="I44" s="30"/>
      <c r="J44" s="30"/>
      <c r="K44" s="30"/>
      <c r="L44" s="31"/>
      <c r="N44"/>
      <c r="O44"/>
      <c r="P44"/>
      <c r="Q44"/>
      <c r="R44"/>
      <c r="S44"/>
      <c r="T44"/>
      <c r="U44"/>
      <c r="V44"/>
      <c r="W44"/>
      <c r="X44"/>
      <c r="Y44"/>
      <c r="Z44"/>
      <c r="AA44"/>
      <c r="AB44"/>
      <c r="AC44"/>
      <c r="AD44"/>
      <c r="AE44"/>
      <c r="AF44"/>
      <c r="AG44"/>
    </row>
    <row r="45" spans="1:33" s="5" customFormat="1" x14ac:dyDescent="0.2">
      <c r="A45" s="160" t="s">
        <v>152</v>
      </c>
      <c r="B45" s="30"/>
      <c r="C45" s="30"/>
      <c r="D45" s="103"/>
      <c r="E45" s="30"/>
      <c r="F45" s="30"/>
      <c r="G45" s="30"/>
      <c r="H45" s="30"/>
      <c r="I45" s="30"/>
      <c r="J45" s="30"/>
      <c r="K45" s="30"/>
      <c r="L45" s="31"/>
      <c r="N45"/>
      <c r="O45"/>
      <c r="P45"/>
      <c r="Q45"/>
      <c r="R45"/>
      <c r="S45"/>
      <c r="T45"/>
      <c r="U45"/>
      <c r="V45"/>
      <c r="W45"/>
      <c r="X45"/>
      <c r="Y45"/>
      <c r="Z45"/>
      <c r="AA45"/>
      <c r="AB45"/>
      <c r="AC45"/>
      <c r="AD45"/>
      <c r="AE45"/>
      <c r="AF45"/>
      <c r="AG45"/>
    </row>
    <row r="46" spans="1:33" s="5" customFormat="1" ht="13.5" x14ac:dyDescent="0.2">
      <c r="A46" s="30" t="s">
        <v>74</v>
      </c>
      <c r="B46" s="30"/>
      <c r="C46" s="30"/>
      <c r="D46" s="31" t="s">
        <v>222</v>
      </c>
      <c r="E46" s="143">
        <v>36</v>
      </c>
      <c r="F46" s="30" t="s">
        <v>3</v>
      </c>
      <c r="G46" s="30"/>
      <c r="H46" s="30"/>
      <c r="I46" s="30"/>
      <c r="J46" s="30"/>
      <c r="K46" s="30"/>
      <c r="L46" s="31" t="s">
        <v>76</v>
      </c>
      <c r="N46"/>
      <c r="O46"/>
      <c r="P46"/>
      <c r="Q46"/>
      <c r="R46"/>
      <c r="S46"/>
      <c r="T46"/>
      <c r="U46"/>
      <c r="V46"/>
      <c r="W46"/>
      <c r="X46"/>
      <c r="Y46"/>
      <c r="Z46"/>
      <c r="AA46"/>
      <c r="AB46"/>
      <c r="AC46"/>
      <c r="AD46"/>
      <c r="AE46"/>
      <c r="AF46"/>
      <c r="AG46"/>
    </row>
    <row r="47" spans="1:33" s="5" customFormat="1" ht="13.5" x14ac:dyDescent="0.2">
      <c r="A47" s="30" t="s">
        <v>161</v>
      </c>
      <c r="B47" s="30"/>
      <c r="C47" s="30"/>
      <c r="D47" s="31" t="s">
        <v>223</v>
      </c>
      <c r="E47" s="143">
        <v>24</v>
      </c>
      <c r="F47" s="30" t="s">
        <v>3</v>
      </c>
      <c r="G47" s="30"/>
      <c r="H47" s="30"/>
      <c r="I47" s="30"/>
      <c r="J47" s="30"/>
      <c r="K47" s="30"/>
      <c r="L47" s="31" t="s">
        <v>75</v>
      </c>
      <c r="N47"/>
      <c r="O47"/>
      <c r="P47"/>
      <c r="Q47"/>
      <c r="R47"/>
      <c r="S47"/>
      <c r="T47"/>
      <c r="U47"/>
      <c r="V47"/>
      <c r="W47"/>
      <c r="X47"/>
      <c r="Y47" s="26"/>
      <c r="Z47" s="24"/>
      <c r="AA47" s="24"/>
      <c r="AB47"/>
      <c r="AC47"/>
      <c r="AD47"/>
      <c r="AE47"/>
      <c r="AF47"/>
      <c r="AG47"/>
    </row>
    <row r="48" spans="1:33" s="5" customFormat="1" x14ac:dyDescent="0.2">
      <c r="A48" s="30"/>
      <c r="B48" s="30"/>
      <c r="C48" s="30"/>
      <c r="D48" s="31"/>
      <c r="E48" s="32"/>
      <c r="F48" s="30"/>
      <c r="G48" s="30"/>
      <c r="H48" s="30"/>
      <c r="I48" s="30"/>
      <c r="J48" s="30"/>
      <c r="K48" s="30"/>
      <c r="L48" s="31"/>
      <c r="N48"/>
      <c r="O48"/>
      <c r="P48"/>
      <c r="Q48"/>
      <c r="R48"/>
      <c r="S48"/>
      <c r="T48"/>
      <c r="U48"/>
      <c r="V48"/>
      <c r="W48"/>
      <c r="X48"/>
      <c r="Y48" s="26"/>
      <c r="Z48" s="24"/>
      <c r="AA48" s="24"/>
      <c r="AB48"/>
      <c r="AC48"/>
      <c r="AD48"/>
      <c r="AE48"/>
      <c r="AF48"/>
      <c r="AG48"/>
    </row>
    <row r="49" spans="1:33" s="5" customFormat="1" x14ac:dyDescent="0.2">
      <c r="A49"/>
      <c r="B49"/>
      <c r="C49"/>
      <c r="D49" s="8"/>
      <c r="E49" s="12"/>
      <c r="F49" s="13"/>
      <c r="G49"/>
      <c r="H49"/>
      <c r="I49"/>
      <c r="J49"/>
      <c r="K49"/>
      <c r="L49" s="8"/>
      <c r="N49"/>
      <c r="O49"/>
      <c r="P49"/>
      <c r="Q49"/>
      <c r="R49"/>
      <c r="S49"/>
      <c r="T49"/>
      <c r="U49"/>
      <c r="V49"/>
      <c r="W49"/>
      <c r="X49"/>
      <c r="Y49" s="26"/>
      <c r="Z49" s="24"/>
      <c r="AA49" s="24"/>
      <c r="AB49"/>
      <c r="AC49"/>
      <c r="AD49"/>
      <c r="AE49"/>
      <c r="AF49"/>
      <c r="AG49"/>
    </row>
    <row r="50" spans="1:33" s="5" customFormat="1" x14ac:dyDescent="0.2">
      <c r="A50"/>
      <c r="B50"/>
      <c r="C50"/>
      <c r="D50" s="8"/>
      <c r="E50" s="12"/>
      <c r="F50" s="13"/>
      <c r="G50"/>
      <c r="H50"/>
      <c r="I50"/>
      <c r="J50"/>
      <c r="K50"/>
      <c r="L50" s="8"/>
      <c r="N50"/>
      <c r="O50"/>
      <c r="P50"/>
      <c r="Q50"/>
      <c r="R50"/>
      <c r="S50"/>
      <c r="T50"/>
      <c r="U50"/>
      <c r="V50"/>
      <c r="W50"/>
      <c r="X50"/>
      <c r="Y50" s="26"/>
      <c r="Z50" s="24"/>
      <c r="AA50" s="24"/>
      <c r="AB50"/>
      <c r="AC50"/>
      <c r="AD50"/>
      <c r="AE50"/>
      <c r="AF50"/>
      <c r="AG50"/>
    </row>
    <row r="51" spans="1:33" s="5" customFormat="1" x14ac:dyDescent="0.2">
      <c r="A51"/>
      <c r="B51"/>
      <c r="C51"/>
      <c r="D51" s="8"/>
      <c r="E51" s="12"/>
      <c r="F51" s="13"/>
      <c r="G51"/>
      <c r="H51"/>
      <c r="I51"/>
      <c r="J51"/>
      <c r="K51"/>
      <c r="L51" s="8"/>
      <c r="N51"/>
      <c r="O51"/>
      <c r="P51"/>
      <c r="Q51"/>
      <c r="R51"/>
      <c r="S51"/>
      <c r="T51"/>
      <c r="U51"/>
      <c r="V51"/>
      <c r="W51"/>
      <c r="X51"/>
      <c r="Y51" s="26"/>
      <c r="Z51" s="24"/>
      <c r="AA51" s="24"/>
      <c r="AB51"/>
      <c r="AC51"/>
      <c r="AD51"/>
      <c r="AE51"/>
      <c r="AF51"/>
      <c r="AG51"/>
    </row>
    <row r="52" spans="1:33" s="5" customFormat="1" x14ac:dyDescent="0.2">
      <c r="A52"/>
      <c r="B52"/>
      <c r="C52"/>
      <c r="D52" s="8"/>
      <c r="E52" s="12"/>
      <c r="F52" s="13"/>
      <c r="G52"/>
      <c r="H52"/>
      <c r="I52"/>
      <c r="J52"/>
      <c r="K52"/>
      <c r="L52" s="8"/>
      <c r="N52"/>
      <c r="O52"/>
      <c r="P52"/>
      <c r="Q52"/>
      <c r="R52"/>
      <c r="S52"/>
      <c r="T52"/>
      <c r="U52"/>
      <c r="V52"/>
      <c r="W52"/>
      <c r="X52"/>
      <c r="Y52" s="26"/>
      <c r="Z52" s="24"/>
      <c r="AA52" s="24"/>
      <c r="AB52"/>
      <c r="AC52"/>
      <c r="AD52"/>
      <c r="AE52"/>
      <c r="AF52"/>
      <c r="AG52"/>
    </row>
    <row r="53" spans="1:33" s="5" customFormat="1" x14ac:dyDescent="0.2">
      <c r="A53"/>
      <c r="B53"/>
      <c r="C53"/>
      <c r="D53" s="8"/>
      <c r="E53" s="12"/>
      <c r="F53" s="13"/>
      <c r="G53"/>
      <c r="H53"/>
      <c r="I53"/>
      <c r="J53"/>
      <c r="K53"/>
      <c r="L53" s="8"/>
      <c r="N53"/>
      <c r="O53"/>
      <c r="P53"/>
      <c r="Q53"/>
      <c r="R53"/>
      <c r="S53"/>
      <c r="T53"/>
      <c r="U53"/>
      <c r="V53"/>
      <c r="W53"/>
      <c r="X53"/>
      <c r="Y53" s="26"/>
      <c r="Z53" s="24"/>
      <c r="AA53" s="24"/>
      <c r="AB53"/>
      <c r="AC53"/>
      <c r="AD53"/>
      <c r="AE53"/>
      <c r="AF53"/>
      <c r="AG53"/>
    </row>
    <row r="54" spans="1:33" s="5" customFormat="1" x14ac:dyDescent="0.2">
      <c r="A54"/>
      <c r="B54"/>
      <c r="C54"/>
      <c r="D54" s="8"/>
      <c r="E54" s="12"/>
      <c r="F54" s="13"/>
      <c r="G54"/>
      <c r="H54"/>
      <c r="I54"/>
      <c r="J54"/>
      <c r="K54"/>
      <c r="L54" s="8"/>
      <c r="N54"/>
      <c r="O54"/>
      <c r="P54"/>
      <c r="Q54"/>
      <c r="R54"/>
      <c r="S54"/>
      <c r="T54"/>
      <c r="U54"/>
      <c r="V54"/>
      <c r="W54"/>
      <c r="X54"/>
      <c r="Y54" s="26"/>
      <c r="Z54" s="24"/>
      <c r="AA54" s="24"/>
      <c r="AB54"/>
      <c r="AC54"/>
      <c r="AD54"/>
      <c r="AE54"/>
      <c r="AF54"/>
      <c r="AG54"/>
    </row>
    <row r="55" spans="1:33" s="5" customFormat="1" x14ac:dyDescent="0.2">
      <c r="A55"/>
      <c r="B55"/>
      <c r="C55"/>
      <c r="D55" s="8"/>
      <c r="E55" s="12"/>
      <c r="F55" s="13"/>
      <c r="G55"/>
      <c r="H55"/>
      <c r="I55"/>
      <c r="J55"/>
      <c r="K55"/>
      <c r="L55" s="8"/>
      <c r="N55"/>
      <c r="O55"/>
      <c r="P55"/>
      <c r="Q55"/>
      <c r="R55"/>
      <c r="S55"/>
      <c r="T55"/>
      <c r="U55"/>
      <c r="V55"/>
      <c r="W55"/>
      <c r="X55"/>
      <c r="Y55" s="26"/>
      <c r="Z55" s="24"/>
      <c r="AA55" s="24"/>
      <c r="AB55"/>
      <c r="AC55"/>
      <c r="AD55"/>
      <c r="AE55"/>
      <c r="AF55"/>
      <c r="AG55"/>
    </row>
    <row r="56" spans="1:33" s="5" customFormat="1" x14ac:dyDescent="0.2">
      <c r="A56"/>
      <c r="B56"/>
      <c r="C56"/>
      <c r="D56" s="8"/>
      <c r="E56" s="12"/>
      <c r="F56" s="13"/>
      <c r="G56"/>
      <c r="H56"/>
      <c r="I56"/>
      <c r="J56"/>
      <c r="K56"/>
      <c r="L56" s="8"/>
      <c r="N56"/>
      <c r="O56"/>
      <c r="P56"/>
      <c r="Q56"/>
      <c r="R56"/>
      <c r="S56"/>
      <c r="T56"/>
      <c r="U56"/>
      <c r="V56"/>
      <c r="W56"/>
      <c r="X56"/>
      <c r="Y56" s="26"/>
      <c r="Z56" s="24"/>
      <c r="AA56" s="24"/>
      <c r="AB56"/>
      <c r="AC56"/>
      <c r="AD56"/>
      <c r="AE56"/>
      <c r="AF56"/>
      <c r="AG56"/>
    </row>
    <row r="57" spans="1:33" s="5" customFormat="1" x14ac:dyDescent="0.2">
      <c r="A57"/>
      <c r="B57"/>
      <c r="C57"/>
      <c r="D57" s="8"/>
      <c r="E57" s="12"/>
      <c r="F57" s="13"/>
      <c r="G57"/>
      <c r="H57"/>
      <c r="I57"/>
      <c r="J57"/>
      <c r="K57"/>
      <c r="L57" s="8"/>
      <c r="N57"/>
      <c r="O57"/>
      <c r="P57"/>
      <c r="Q57"/>
      <c r="R57"/>
      <c r="S57"/>
      <c r="T57"/>
      <c r="U57"/>
      <c r="V57"/>
      <c r="W57"/>
      <c r="X57"/>
      <c r="Y57" s="26"/>
      <c r="Z57" s="24"/>
      <c r="AA57" s="24"/>
      <c r="AB57"/>
      <c r="AC57"/>
      <c r="AD57"/>
      <c r="AE57"/>
      <c r="AF57"/>
      <c r="AG57"/>
    </row>
    <row r="58" spans="1:33" s="5" customFormat="1" x14ac:dyDescent="0.2">
      <c r="A58"/>
      <c r="B58"/>
      <c r="C58"/>
      <c r="D58" s="8"/>
      <c r="E58" s="12"/>
      <c r="F58" s="13"/>
      <c r="G58"/>
      <c r="H58"/>
      <c r="I58"/>
      <c r="J58"/>
      <c r="K58"/>
      <c r="L58" s="8"/>
      <c r="N58"/>
      <c r="O58"/>
      <c r="P58"/>
      <c r="Q58"/>
      <c r="R58"/>
      <c r="S58"/>
      <c r="T58"/>
      <c r="U58"/>
      <c r="V58"/>
      <c r="W58"/>
      <c r="X58"/>
      <c r="Y58" s="26"/>
      <c r="Z58" s="24"/>
      <c r="AA58" s="24"/>
      <c r="AB58"/>
      <c r="AC58"/>
      <c r="AD58"/>
      <c r="AE58"/>
      <c r="AF58"/>
      <c r="AG58"/>
    </row>
    <row r="59" spans="1:33" s="5" customFormat="1" x14ac:dyDescent="0.2">
      <c r="A59"/>
      <c r="B59"/>
      <c r="C59"/>
      <c r="D59" s="8"/>
      <c r="E59" s="12"/>
      <c r="F59" s="13"/>
      <c r="G59"/>
      <c r="H59"/>
      <c r="I59"/>
      <c r="J59"/>
      <c r="K59"/>
      <c r="L59" s="8"/>
      <c r="N59"/>
      <c r="O59"/>
      <c r="P59"/>
      <c r="Q59"/>
      <c r="R59"/>
      <c r="S59"/>
      <c r="T59"/>
      <c r="U59"/>
      <c r="V59"/>
      <c r="W59"/>
      <c r="X59"/>
      <c r="Y59" s="26"/>
      <c r="Z59" s="24"/>
      <c r="AA59" s="24"/>
      <c r="AB59"/>
      <c r="AC59"/>
      <c r="AD59"/>
      <c r="AE59"/>
      <c r="AF59"/>
      <c r="AG59"/>
    </row>
    <row r="60" spans="1:33" s="5" customFormat="1" x14ac:dyDescent="0.2">
      <c r="A60"/>
      <c r="B60"/>
      <c r="C60"/>
      <c r="D60" s="8"/>
      <c r="E60" s="12"/>
      <c r="F60" s="13"/>
      <c r="G60"/>
      <c r="H60"/>
      <c r="I60"/>
      <c r="J60"/>
      <c r="K60"/>
      <c r="L60" s="8"/>
      <c r="N60"/>
      <c r="O60"/>
      <c r="P60"/>
      <c r="Q60"/>
      <c r="R60"/>
      <c r="S60"/>
      <c r="T60"/>
      <c r="U60"/>
      <c r="V60"/>
      <c r="W60"/>
      <c r="X60"/>
      <c r="Y60" s="26"/>
      <c r="Z60" s="24"/>
      <c r="AA60" s="24"/>
      <c r="AB60"/>
      <c r="AC60"/>
      <c r="AD60"/>
      <c r="AE60"/>
      <c r="AF60"/>
      <c r="AG60"/>
    </row>
    <row r="61" spans="1:33" s="5" customFormat="1" x14ac:dyDescent="0.2">
      <c r="A61"/>
      <c r="B61"/>
      <c r="C61"/>
      <c r="D61" s="8"/>
      <c r="E61" s="12"/>
      <c r="F61" s="13"/>
      <c r="G61"/>
      <c r="H61"/>
      <c r="I61"/>
      <c r="J61"/>
      <c r="K61"/>
      <c r="L61" s="8"/>
      <c r="N61"/>
      <c r="O61"/>
      <c r="P61"/>
      <c r="Q61"/>
      <c r="R61"/>
      <c r="S61"/>
      <c r="T61"/>
      <c r="U61"/>
      <c r="V61"/>
      <c r="W61"/>
      <c r="X61"/>
      <c r="Y61" s="26"/>
      <c r="Z61" s="24"/>
      <c r="AA61" s="24"/>
      <c r="AB61"/>
      <c r="AC61"/>
      <c r="AD61"/>
      <c r="AE61"/>
      <c r="AF61"/>
      <c r="AG61"/>
    </row>
    <row r="62" spans="1:33" s="5" customFormat="1" x14ac:dyDescent="0.2">
      <c r="A62"/>
      <c r="B62"/>
      <c r="C62"/>
      <c r="D62" s="8"/>
      <c r="E62" s="12"/>
      <c r="F62" s="13"/>
      <c r="G62"/>
      <c r="H62"/>
      <c r="I62"/>
      <c r="J62"/>
      <c r="K62"/>
      <c r="L62" s="8"/>
      <c r="N62"/>
      <c r="O62"/>
      <c r="P62"/>
      <c r="Q62"/>
      <c r="R62"/>
      <c r="S62"/>
      <c r="T62"/>
      <c r="U62"/>
      <c r="V62"/>
      <c r="W62"/>
      <c r="X62"/>
      <c r="Y62" s="26"/>
      <c r="Z62" s="24"/>
      <c r="AA62" s="24"/>
      <c r="AB62"/>
      <c r="AC62"/>
      <c r="AD62"/>
      <c r="AE62"/>
      <c r="AF62"/>
      <c r="AG62"/>
    </row>
    <row r="63" spans="1:33" s="5" customFormat="1" x14ac:dyDescent="0.2">
      <c r="A63"/>
      <c r="B63"/>
      <c r="C63"/>
      <c r="D63" s="8"/>
      <c r="E63" s="12"/>
      <c r="F63" s="13"/>
      <c r="G63"/>
      <c r="H63"/>
      <c r="I63"/>
      <c r="J63"/>
      <c r="K63"/>
      <c r="L63" s="8"/>
      <c r="N63"/>
      <c r="O63"/>
      <c r="P63"/>
      <c r="Q63"/>
      <c r="R63"/>
      <c r="S63"/>
      <c r="T63"/>
      <c r="U63"/>
      <c r="V63"/>
      <c r="W63"/>
      <c r="X63"/>
      <c r="Y63" s="26"/>
      <c r="Z63" s="24"/>
      <c r="AA63" s="24"/>
      <c r="AB63"/>
      <c r="AC63"/>
      <c r="AD63"/>
      <c r="AE63"/>
      <c r="AF63"/>
      <c r="AG63"/>
    </row>
    <row r="64" spans="1:33" s="5" customFormat="1" x14ac:dyDescent="0.2">
      <c r="A64"/>
      <c r="B64"/>
      <c r="C64"/>
      <c r="D64" s="8"/>
      <c r="E64" s="12"/>
      <c r="F64" s="13"/>
      <c r="G64"/>
      <c r="H64"/>
      <c r="I64"/>
      <c r="J64"/>
      <c r="K64"/>
      <c r="L64" s="8"/>
      <c r="N64"/>
      <c r="O64"/>
      <c r="P64"/>
      <c r="Q64"/>
      <c r="R64"/>
      <c r="S64"/>
      <c r="T64"/>
      <c r="U64"/>
      <c r="V64"/>
      <c r="W64"/>
      <c r="X64"/>
      <c r="Y64" s="26"/>
      <c r="Z64" s="24"/>
      <c r="AA64" s="24"/>
      <c r="AB64"/>
      <c r="AC64"/>
      <c r="AD64"/>
      <c r="AE64"/>
      <c r="AF64"/>
      <c r="AG64"/>
    </row>
    <row r="65" spans="1:33" s="5" customFormat="1" x14ac:dyDescent="0.2">
      <c r="A65"/>
      <c r="B65"/>
      <c r="C65"/>
      <c r="D65" s="8"/>
      <c r="E65" s="12"/>
      <c r="F65" s="13"/>
      <c r="G65"/>
      <c r="H65"/>
      <c r="I65"/>
      <c r="J65"/>
      <c r="K65"/>
      <c r="L65" s="8"/>
      <c r="N65"/>
      <c r="O65"/>
      <c r="P65"/>
      <c r="Q65"/>
      <c r="R65"/>
      <c r="S65"/>
      <c r="T65"/>
      <c r="U65"/>
      <c r="V65"/>
      <c r="W65"/>
      <c r="X65"/>
      <c r="Y65" s="26"/>
      <c r="Z65" s="24"/>
      <c r="AA65" s="24"/>
      <c r="AB65"/>
      <c r="AC65"/>
      <c r="AD65"/>
      <c r="AE65"/>
      <c r="AF65"/>
      <c r="AG65"/>
    </row>
    <row r="66" spans="1:33" s="5" customFormat="1" x14ac:dyDescent="0.2">
      <c r="A66"/>
      <c r="B66"/>
      <c r="C66" s="27" t="s">
        <v>187</v>
      </c>
      <c r="D66" s="27"/>
      <c r="E66" s="27"/>
      <c r="F66" s="27"/>
      <c r="G66" s="27"/>
      <c r="H66" s="27"/>
      <c r="I66" s="27"/>
      <c r="J66" s="28"/>
      <c r="K66"/>
      <c r="L66" s="8"/>
      <c r="N66"/>
      <c r="O66"/>
      <c r="P66"/>
      <c r="Q66"/>
      <c r="R66"/>
      <c r="S66"/>
      <c r="T66"/>
      <c r="U66"/>
      <c r="V66"/>
      <c r="W66"/>
      <c r="X66"/>
      <c r="Y66" s="26"/>
      <c r="Z66" s="24"/>
      <c r="AA66" s="24"/>
      <c r="AB66"/>
      <c r="AC66"/>
      <c r="AD66"/>
      <c r="AE66"/>
      <c r="AF66"/>
      <c r="AG66"/>
    </row>
    <row r="67" spans="1:33" s="5" customFormat="1" x14ac:dyDescent="0.2">
      <c r="A67"/>
      <c r="B67"/>
      <c r="C67" s="17"/>
      <c r="D67" s="17"/>
      <c r="E67" s="17"/>
      <c r="F67" s="17"/>
      <c r="G67" s="17"/>
      <c r="H67" s="17"/>
      <c r="I67" s="17"/>
      <c r="J67"/>
      <c r="K67"/>
      <c r="L67" s="8"/>
      <c r="N67"/>
      <c r="O67"/>
      <c r="P67"/>
      <c r="Q67"/>
      <c r="R67"/>
      <c r="S67"/>
      <c r="T67"/>
      <c r="U67"/>
      <c r="V67"/>
      <c r="W67"/>
      <c r="X67"/>
      <c r="Y67" s="26"/>
      <c r="Z67" s="24"/>
      <c r="AA67" s="24"/>
      <c r="AB67"/>
      <c r="AC67"/>
      <c r="AD67"/>
      <c r="AE67"/>
      <c r="AF67"/>
      <c r="AG67"/>
    </row>
    <row r="68" spans="1:33" s="5" customFormat="1" x14ac:dyDescent="0.2">
      <c r="A68"/>
      <c r="B68"/>
      <c r="C68" s="17"/>
      <c r="D68" s="17"/>
      <c r="E68" s="17"/>
      <c r="F68" s="17"/>
      <c r="G68" s="17"/>
      <c r="H68" s="17"/>
      <c r="I68" s="17"/>
      <c r="J68"/>
      <c r="K68"/>
      <c r="L68" s="8"/>
      <c r="N68"/>
      <c r="O68"/>
      <c r="P68"/>
      <c r="Q68"/>
      <c r="R68"/>
      <c r="S68"/>
      <c r="T68"/>
      <c r="U68"/>
      <c r="V68"/>
      <c r="W68"/>
      <c r="X68"/>
      <c r="Y68" s="26"/>
      <c r="Z68" s="24"/>
      <c r="AA68" s="24"/>
      <c r="AB68"/>
      <c r="AC68"/>
      <c r="AD68"/>
      <c r="AE68"/>
      <c r="AF68"/>
      <c r="AG68"/>
    </row>
    <row r="69" spans="1:33" s="5" customFormat="1" x14ac:dyDescent="0.2">
      <c r="A69"/>
      <c r="B69"/>
      <c r="C69"/>
      <c r="D69" s="8"/>
      <c r="E69" s="12"/>
      <c r="F69" s="13"/>
      <c r="G69"/>
      <c r="H69"/>
      <c r="I69"/>
      <c r="J69"/>
      <c r="K69"/>
      <c r="L69" s="8"/>
      <c r="N69"/>
      <c r="O69"/>
      <c r="P69"/>
      <c r="Q69"/>
      <c r="R69"/>
      <c r="S69"/>
      <c r="T69"/>
      <c r="U69"/>
      <c r="V69"/>
      <c r="W69"/>
      <c r="X69"/>
      <c r="Y69" s="26"/>
      <c r="Z69" s="24"/>
      <c r="AA69" s="24"/>
      <c r="AB69"/>
      <c r="AC69"/>
      <c r="AD69"/>
      <c r="AE69"/>
      <c r="AF69"/>
      <c r="AG69"/>
    </row>
    <row r="70" spans="1:33" s="5" customFormat="1" x14ac:dyDescent="0.2">
      <c r="A70"/>
      <c r="B70"/>
      <c r="C70"/>
      <c r="D70" s="8"/>
      <c r="E70" s="12"/>
      <c r="F70" s="13"/>
      <c r="G70"/>
      <c r="H70"/>
      <c r="I70"/>
      <c r="J70"/>
      <c r="K70"/>
      <c r="L70" s="8"/>
      <c r="N70"/>
      <c r="O70"/>
      <c r="P70"/>
      <c r="Q70"/>
      <c r="R70"/>
      <c r="S70"/>
      <c r="T70"/>
      <c r="U70"/>
      <c r="V70"/>
      <c r="W70"/>
      <c r="X70"/>
      <c r="Y70" s="26"/>
      <c r="Z70" s="24"/>
      <c r="AA70" s="24"/>
      <c r="AB70"/>
      <c r="AC70"/>
      <c r="AD70"/>
      <c r="AE70"/>
      <c r="AF70"/>
      <c r="AG70"/>
    </row>
    <row r="71" spans="1:33" s="5" customFormat="1" x14ac:dyDescent="0.2">
      <c r="A71"/>
      <c r="B71"/>
      <c r="C71"/>
      <c r="D71" s="8"/>
      <c r="E71" s="12"/>
      <c r="F71" s="13"/>
      <c r="G71"/>
      <c r="H71"/>
      <c r="I71"/>
      <c r="J71"/>
      <c r="K71"/>
      <c r="L71" s="8"/>
      <c r="N71"/>
      <c r="O71"/>
      <c r="P71"/>
      <c r="Q71"/>
      <c r="R71"/>
      <c r="S71"/>
      <c r="T71"/>
      <c r="U71"/>
      <c r="V71"/>
      <c r="W71"/>
      <c r="X71"/>
      <c r="Y71" s="26"/>
      <c r="Z71" s="24"/>
      <c r="AA71" s="24"/>
      <c r="AB71"/>
      <c r="AC71"/>
      <c r="AD71"/>
      <c r="AE71"/>
      <c r="AF71"/>
      <c r="AG71"/>
    </row>
    <row r="72" spans="1:33" s="5" customFormat="1" x14ac:dyDescent="0.2">
      <c r="A72"/>
      <c r="B72"/>
      <c r="C72"/>
      <c r="D72" s="8"/>
      <c r="E72" s="12"/>
      <c r="F72" s="13"/>
      <c r="G72"/>
      <c r="H72"/>
      <c r="I72"/>
      <c r="J72"/>
      <c r="K72"/>
      <c r="L72" s="8"/>
      <c r="N72"/>
      <c r="O72"/>
      <c r="P72"/>
      <c r="Q72"/>
      <c r="R72"/>
      <c r="S72"/>
      <c r="T72"/>
      <c r="U72"/>
      <c r="V72"/>
      <c r="W72"/>
      <c r="X72"/>
      <c r="Y72" s="26"/>
      <c r="Z72" s="24"/>
      <c r="AA72" s="24"/>
      <c r="AB72"/>
      <c r="AC72"/>
      <c r="AD72"/>
      <c r="AE72"/>
      <c r="AF72"/>
      <c r="AG72"/>
    </row>
    <row r="73" spans="1:33" s="5" customFormat="1" x14ac:dyDescent="0.2">
      <c r="A73"/>
      <c r="B73"/>
      <c r="C73"/>
      <c r="D73" s="8"/>
      <c r="E73" s="12"/>
      <c r="F73" s="13"/>
      <c r="G73"/>
      <c r="H73"/>
      <c r="I73"/>
      <c r="J73"/>
      <c r="K73"/>
      <c r="L73" s="8"/>
      <c r="N73"/>
      <c r="O73"/>
      <c r="P73"/>
      <c r="Q73"/>
      <c r="R73"/>
      <c r="S73"/>
      <c r="T73"/>
      <c r="U73"/>
      <c r="V73"/>
      <c r="W73"/>
      <c r="X73"/>
      <c r="Y73" s="26"/>
      <c r="Z73" s="24"/>
      <c r="AA73" s="24"/>
      <c r="AB73"/>
      <c r="AC73"/>
      <c r="AD73"/>
      <c r="AE73"/>
      <c r="AF73"/>
      <c r="AG73"/>
    </row>
    <row r="74" spans="1:33" s="5" customFormat="1" x14ac:dyDescent="0.2">
      <c r="A74"/>
      <c r="B74"/>
      <c r="C74"/>
      <c r="D74" s="8"/>
      <c r="E74" s="12"/>
      <c r="F74" s="13"/>
      <c r="G74"/>
      <c r="H74"/>
      <c r="I74"/>
      <c r="J74"/>
      <c r="K74"/>
      <c r="L74" s="8"/>
      <c r="N74"/>
      <c r="O74"/>
      <c r="P74"/>
      <c r="Q74"/>
      <c r="R74"/>
      <c r="S74"/>
      <c r="T74"/>
      <c r="U74"/>
      <c r="V74"/>
      <c r="W74"/>
      <c r="X74"/>
      <c r="Y74" s="26"/>
      <c r="Z74" s="24"/>
      <c r="AA74" s="24"/>
      <c r="AB74"/>
      <c r="AC74"/>
      <c r="AD74"/>
      <c r="AE74"/>
      <c r="AF74"/>
      <c r="AG74"/>
    </row>
    <row r="75" spans="1:33" s="5" customFormat="1" x14ac:dyDescent="0.2">
      <c r="A75"/>
      <c r="B75"/>
      <c r="C75"/>
      <c r="D75" s="8"/>
      <c r="E75" s="12"/>
      <c r="F75" s="13"/>
      <c r="G75"/>
      <c r="H75"/>
      <c r="I75"/>
      <c r="J75"/>
      <c r="K75"/>
      <c r="L75" s="8"/>
      <c r="N75"/>
      <c r="O75"/>
      <c r="P75"/>
      <c r="Q75"/>
      <c r="R75"/>
      <c r="S75"/>
      <c r="T75"/>
      <c r="U75"/>
      <c r="V75"/>
      <c r="W75"/>
      <c r="X75"/>
      <c r="Y75" s="26"/>
      <c r="Z75" s="24"/>
      <c r="AA75" s="24"/>
      <c r="AB75"/>
      <c r="AC75"/>
      <c r="AD75"/>
      <c r="AE75"/>
      <c r="AF75"/>
      <c r="AG75"/>
    </row>
    <row r="76" spans="1:33" s="5" customFormat="1" x14ac:dyDescent="0.2">
      <c r="A76"/>
      <c r="B76"/>
      <c r="C76"/>
      <c r="D76" s="8"/>
      <c r="E76" s="12"/>
      <c r="F76" s="13"/>
      <c r="G76"/>
      <c r="H76"/>
      <c r="I76"/>
      <c r="J76"/>
      <c r="K76"/>
      <c r="L76" s="8"/>
      <c r="N76"/>
      <c r="O76"/>
      <c r="P76"/>
      <c r="Q76"/>
      <c r="R76"/>
      <c r="S76"/>
      <c r="T76"/>
      <c r="U76"/>
      <c r="V76"/>
      <c r="W76"/>
      <c r="X76"/>
      <c r="Y76" s="26"/>
      <c r="Z76" s="24"/>
      <c r="AA76" s="24"/>
      <c r="AB76"/>
      <c r="AC76"/>
      <c r="AD76"/>
      <c r="AE76"/>
      <c r="AF76"/>
      <c r="AG76"/>
    </row>
    <row r="77" spans="1:33" s="5" customFormat="1" x14ac:dyDescent="0.2">
      <c r="A77"/>
      <c r="B77"/>
      <c r="C77"/>
      <c r="D77" s="8"/>
      <c r="E77" s="12"/>
      <c r="F77" s="13"/>
      <c r="G77"/>
      <c r="H77"/>
      <c r="I77"/>
      <c r="J77"/>
      <c r="K77"/>
      <c r="L77" s="8"/>
      <c r="N77"/>
      <c r="O77"/>
      <c r="P77"/>
      <c r="Q77"/>
      <c r="R77"/>
      <c r="S77"/>
      <c r="T77"/>
      <c r="U77"/>
      <c r="V77"/>
      <c r="W77"/>
      <c r="X77"/>
      <c r="Y77" s="26"/>
      <c r="Z77" s="24"/>
      <c r="AA77" s="24"/>
      <c r="AB77"/>
      <c r="AC77"/>
      <c r="AD77"/>
      <c r="AE77"/>
      <c r="AF77"/>
      <c r="AG77"/>
    </row>
    <row r="78" spans="1:33" s="5" customFormat="1" x14ac:dyDescent="0.2">
      <c r="A78"/>
      <c r="B78"/>
      <c r="C78"/>
      <c r="D78" s="8"/>
      <c r="E78" s="18"/>
      <c r="F78" s="13"/>
      <c r="G78"/>
      <c r="H78"/>
      <c r="I78"/>
      <c r="J78"/>
      <c r="K78"/>
      <c r="L78" s="8"/>
      <c r="N78"/>
      <c r="O78"/>
      <c r="P78"/>
      <c r="Q78"/>
      <c r="R78"/>
      <c r="S78"/>
      <c r="T78"/>
      <c r="U78"/>
      <c r="V78"/>
      <c r="W78"/>
      <c r="X78"/>
      <c r="Y78" s="26"/>
      <c r="Z78" s="24"/>
      <c r="AA78" s="24"/>
      <c r="AB78"/>
      <c r="AC78"/>
      <c r="AD78"/>
      <c r="AE78"/>
      <c r="AF78"/>
      <c r="AG78"/>
    </row>
    <row r="79" spans="1:33" s="5" customFormat="1" x14ac:dyDescent="0.2">
      <c r="A79"/>
      <c r="B79"/>
      <c r="C79"/>
      <c r="D79" s="8"/>
      <c r="E79" s="12"/>
      <c r="F79" s="13"/>
      <c r="G79"/>
      <c r="H79"/>
      <c r="I79"/>
      <c r="J79"/>
      <c r="K79"/>
      <c r="L79" s="8"/>
      <c r="N79"/>
      <c r="O79"/>
      <c r="P79"/>
      <c r="Q79"/>
      <c r="R79"/>
      <c r="S79"/>
      <c r="T79"/>
      <c r="U79"/>
      <c r="V79"/>
      <c r="W79"/>
      <c r="X79"/>
      <c r="Y79" s="26"/>
      <c r="Z79" s="24"/>
      <c r="AA79" s="24"/>
      <c r="AB79"/>
      <c r="AC79"/>
      <c r="AD79"/>
      <c r="AE79"/>
      <c r="AF79"/>
      <c r="AG79"/>
    </row>
    <row r="80" spans="1:33" s="5" customFormat="1" x14ac:dyDescent="0.2">
      <c r="A80"/>
      <c r="B80"/>
      <c r="C80"/>
      <c r="D80" s="8"/>
      <c r="E80" s="12"/>
      <c r="F80" s="13"/>
      <c r="G80"/>
      <c r="H80"/>
      <c r="I80"/>
      <c r="J80"/>
      <c r="K80"/>
      <c r="L80" s="8"/>
      <c r="N80"/>
      <c r="O80"/>
      <c r="P80"/>
      <c r="Q80"/>
      <c r="R80"/>
      <c r="S80"/>
      <c r="T80"/>
      <c r="U80"/>
      <c r="V80"/>
      <c r="W80"/>
      <c r="X80"/>
      <c r="Y80" s="26"/>
      <c r="Z80" s="24"/>
      <c r="AA80" s="24"/>
      <c r="AB80"/>
      <c r="AC80"/>
      <c r="AD80"/>
      <c r="AE80"/>
      <c r="AF80"/>
      <c r="AG80"/>
    </row>
    <row r="81" spans="1:33" s="5" customFormat="1" x14ac:dyDescent="0.2">
      <c r="A81"/>
      <c r="B81"/>
      <c r="C81"/>
      <c r="D81"/>
      <c r="E81"/>
      <c r="F81"/>
      <c r="G81"/>
      <c r="H81"/>
      <c r="I81"/>
      <c r="J81"/>
      <c r="K81"/>
      <c r="L81" s="8"/>
      <c r="N81"/>
      <c r="O81"/>
      <c r="P81"/>
      <c r="Q81"/>
      <c r="R81"/>
      <c r="S81"/>
      <c r="T81"/>
      <c r="U81"/>
      <c r="V81"/>
      <c r="W81"/>
      <c r="X81"/>
      <c r="Y81" s="24"/>
      <c r="Z81" s="24"/>
      <c r="AA81" s="24"/>
      <c r="AB81"/>
      <c r="AC81"/>
      <c r="AD81"/>
      <c r="AE81"/>
      <c r="AF81"/>
      <c r="AG81"/>
    </row>
    <row r="82" spans="1:33" s="5" customFormat="1" x14ac:dyDescent="0.2">
      <c r="A82"/>
      <c r="B82"/>
      <c r="C82"/>
      <c r="D82"/>
      <c r="E82"/>
      <c r="F82"/>
      <c r="G82"/>
      <c r="H82"/>
      <c r="I82"/>
      <c r="J82"/>
      <c r="K82"/>
      <c r="L82" s="8"/>
      <c r="N82"/>
      <c r="O82"/>
      <c r="P82"/>
      <c r="Q82"/>
      <c r="R82"/>
      <c r="S82"/>
      <c r="T82"/>
      <c r="U82"/>
      <c r="V82"/>
      <c r="W82"/>
      <c r="X82"/>
      <c r="Y82"/>
      <c r="Z82"/>
      <c r="AA82"/>
      <c r="AB82"/>
      <c r="AC82"/>
      <c r="AD82"/>
      <c r="AE82"/>
      <c r="AF82"/>
      <c r="AG82"/>
    </row>
    <row r="83" spans="1:33" s="5" customFormat="1" x14ac:dyDescent="0.2">
      <c r="A83"/>
      <c r="B83"/>
      <c r="C83"/>
      <c r="D83"/>
      <c r="E83"/>
      <c r="F83"/>
      <c r="G83"/>
      <c r="H83"/>
      <c r="I83"/>
      <c r="J83"/>
      <c r="K83"/>
      <c r="L83" s="8"/>
      <c r="N83"/>
      <c r="O83"/>
      <c r="P83"/>
      <c r="Q83"/>
      <c r="R83"/>
      <c r="S83"/>
      <c r="T83"/>
      <c r="U83"/>
      <c r="V83"/>
      <c r="W83"/>
      <c r="X83"/>
      <c r="Y83"/>
      <c r="Z83"/>
      <c r="AA83"/>
      <c r="AB83"/>
      <c r="AC83"/>
      <c r="AD83"/>
      <c r="AE83"/>
      <c r="AF83"/>
      <c r="AG83"/>
    </row>
    <row r="84" spans="1:33" s="5" customFormat="1" x14ac:dyDescent="0.2">
      <c r="A84"/>
      <c r="B84"/>
      <c r="C84"/>
      <c r="D84"/>
      <c r="E84"/>
      <c r="F84"/>
      <c r="G84"/>
      <c r="H84"/>
      <c r="I84"/>
      <c r="J84"/>
      <c r="K84"/>
      <c r="L84" s="8"/>
      <c r="N84"/>
      <c r="O84"/>
      <c r="P84"/>
      <c r="Q84"/>
      <c r="R84"/>
      <c r="S84"/>
      <c r="T84"/>
      <c r="U84"/>
      <c r="V84"/>
      <c r="W84"/>
      <c r="X84"/>
      <c r="Y84"/>
      <c r="Z84"/>
      <c r="AA84"/>
      <c r="AB84"/>
      <c r="AC84"/>
      <c r="AD84"/>
      <c r="AE84"/>
      <c r="AF84"/>
      <c r="AG84"/>
    </row>
    <row r="85" spans="1:33" s="5" customFormat="1" x14ac:dyDescent="0.2">
      <c r="A85"/>
      <c r="B85"/>
      <c r="C85"/>
      <c r="D85"/>
      <c r="E85"/>
      <c r="F85"/>
      <c r="G85"/>
      <c r="H85"/>
      <c r="I85"/>
      <c r="J85"/>
      <c r="K85"/>
      <c r="L85" s="8"/>
      <c r="M85" s="7"/>
      <c r="N85"/>
      <c r="O85"/>
      <c r="P85"/>
      <c r="Q85"/>
      <c r="R85"/>
      <c r="S85"/>
      <c r="T85"/>
      <c r="U85"/>
      <c r="V85"/>
      <c r="W85"/>
      <c r="X85"/>
      <c r="Y85"/>
      <c r="Z85"/>
      <c r="AA85"/>
      <c r="AB85"/>
      <c r="AC85"/>
      <c r="AD85"/>
      <c r="AE85"/>
      <c r="AF85"/>
      <c r="AG85"/>
    </row>
    <row r="86" spans="1:33" s="5" customFormat="1" x14ac:dyDescent="0.2">
      <c r="A86"/>
      <c r="B86"/>
      <c r="C86"/>
      <c r="D86"/>
      <c r="E86"/>
      <c r="F86"/>
      <c r="G86"/>
      <c r="H86"/>
      <c r="I86"/>
      <c r="J86"/>
      <c r="K86"/>
      <c r="L86" s="8"/>
      <c r="N86"/>
      <c r="O86"/>
      <c r="P86"/>
      <c r="Q86"/>
      <c r="R86"/>
      <c r="S86"/>
      <c r="T86"/>
      <c r="U86"/>
      <c r="V86"/>
      <c r="W86"/>
      <c r="X86"/>
      <c r="Y86"/>
      <c r="Z86"/>
      <c r="AA86"/>
      <c r="AB86"/>
      <c r="AC86"/>
      <c r="AD86"/>
      <c r="AE86"/>
      <c r="AF86"/>
      <c r="AG86"/>
    </row>
    <row r="87" spans="1:33" s="5" customFormat="1" x14ac:dyDescent="0.2">
      <c r="A87"/>
      <c r="B87"/>
      <c r="C87"/>
      <c r="D87"/>
      <c r="E87"/>
      <c r="F87"/>
      <c r="G87"/>
      <c r="H87"/>
      <c r="I87"/>
      <c r="J87"/>
      <c r="K87"/>
      <c r="L87" s="8"/>
      <c r="N87"/>
      <c r="O87"/>
      <c r="P87"/>
      <c r="Q87"/>
      <c r="R87"/>
      <c r="S87"/>
      <c r="T87"/>
      <c r="U87"/>
      <c r="V87"/>
      <c r="W87"/>
      <c r="X87"/>
      <c r="Y87"/>
      <c r="Z87"/>
      <c r="AA87"/>
      <c r="AB87"/>
      <c r="AC87"/>
      <c r="AD87"/>
      <c r="AE87"/>
      <c r="AF87"/>
      <c r="AG87"/>
    </row>
    <row r="88" spans="1:33" s="5" customFormat="1" x14ac:dyDescent="0.2">
      <c r="A88"/>
      <c r="B88"/>
      <c r="C88"/>
      <c r="D88"/>
      <c r="E88"/>
      <c r="F88"/>
      <c r="G88"/>
      <c r="H88"/>
      <c r="I88"/>
      <c r="J88"/>
      <c r="K88"/>
      <c r="L88" s="8"/>
      <c r="N88"/>
      <c r="O88"/>
      <c r="P88"/>
      <c r="Q88"/>
      <c r="R88"/>
      <c r="S88"/>
      <c r="T88"/>
      <c r="U88"/>
      <c r="V88"/>
      <c r="W88"/>
      <c r="X88"/>
      <c r="Y88"/>
      <c r="Z88"/>
      <c r="AA88"/>
      <c r="AB88"/>
      <c r="AC88"/>
      <c r="AD88"/>
      <c r="AE88"/>
      <c r="AF88"/>
      <c r="AG88"/>
    </row>
    <row r="89" spans="1:33" s="5" customFormat="1" x14ac:dyDescent="0.2">
      <c r="A89"/>
      <c r="B89"/>
      <c r="C89"/>
      <c r="D89"/>
      <c r="E89"/>
      <c r="F89"/>
      <c r="G89"/>
      <c r="H89"/>
      <c r="I89"/>
      <c r="J89"/>
      <c r="K89"/>
      <c r="L89" s="8"/>
      <c r="N89"/>
      <c r="O89"/>
      <c r="P89"/>
      <c r="Q89"/>
      <c r="R89"/>
      <c r="S89"/>
      <c r="T89"/>
      <c r="U89"/>
      <c r="V89"/>
      <c r="W89"/>
      <c r="X89"/>
      <c r="Y89"/>
      <c r="Z89"/>
      <c r="AA89"/>
      <c r="AB89"/>
      <c r="AC89"/>
      <c r="AD89"/>
      <c r="AE89"/>
      <c r="AF89"/>
      <c r="AG89"/>
    </row>
    <row r="90" spans="1:33" s="5" customFormat="1" x14ac:dyDescent="0.2">
      <c r="A90"/>
      <c r="B90"/>
      <c r="C90"/>
      <c r="D90"/>
      <c r="E90"/>
      <c r="F90"/>
      <c r="G90"/>
      <c r="H90"/>
      <c r="I90"/>
      <c r="J90"/>
      <c r="K90"/>
      <c r="L90" s="8"/>
      <c r="N90"/>
      <c r="O90"/>
      <c r="P90"/>
      <c r="Q90"/>
      <c r="R90"/>
      <c r="S90"/>
      <c r="T90"/>
      <c r="U90"/>
      <c r="V90"/>
      <c r="W90"/>
      <c r="X90"/>
      <c r="Y90"/>
      <c r="Z90"/>
      <c r="AA90"/>
      <c r="AB90"/>
      <c r="AC90"/>
      <c r="AD90"/>
      <c r="AE90"/>
      <c r="AF90"/>
      <c r="AG90"/>
    </row>
    <row r="91" spans="1:33" s="5" customFormat="1" x14ac:dyDescent="0.2">
      <c r="A91"/>
      <c r="B91"/>
      <c r="C91"/>
      <c r="D91"/>
      <c r="E91"/>
      <c r="F91"/>
      <c r="G91"/>
      <c r="H91"/>
      <c r="I91"/>
      <c r="J91"/>
      <c r="K91"/>
      <c r="L91" s="8"/>
      <c r="N91"/>
      <c r="O91"/>
      <c r="P91"/>
      <c r="Q91"/>
      <c r="R91"/>
      <c r="S91"/>
      <c r="T91"/>
      <c r="U91"/>
      <c r="V91"/>
      <c r="W91"/>
      <c r="X91"/>
      <c r="Y91"/>
      <c r="Z91"/>
      <c r="AA91"/>
      <c r="AB91"/>
      <c r="AC91"/>
      <c r="AD91"/>
      <c r="AE91"/>
      <c r="AF91"/>
      <c r="AG91"/>
    </row>
    <row r="92" spans="1:33" s="5" customFormat="1" x14ac:dyDescent="0.2">
      <c r="A92"/>
      <c r="B92"/>
      <c r="C92"/>
      <c r="D92"/>
      <c r="E92"/>
      <c r="F92"/>
      <c r="G92"/>
      <c r="H92"/>
      <c r="I92"/>
      <c r="J92"/>
      <c r="K92"/>
      <c r="L92" s="8"/>
      <c r="N92"/>
      <c r="O92"/>
      <c r="P92"/>
      <c r="Q92"/>
      <c r="R92"/>
      <c r="S92"/>
      <c r="T92"/>
      <c r="U92"/>
      <c r="V92"/>
      <c r="W92"/>
      <c r="X92"/>
      <c r="Y92"/>
      <c r="Z92"/>
      <c r="AA92"/>
      <c r="AB92"/>
      <c r="AC92"/>
      <c r="AD92"/>
      <c r="AE92"/>
      <c r="AF92"/>
      <c r="AG92"/>
    </row>
    <row r="93" spans="1:33" s="5" customFormat="1" x14ac:dyDescent="0.2">
      <c r="A93"/>
      <c r="B93"/>
      <c r="C93"/>
      <c r="D93"/>
      <c r="E93"/>
      <c r="F93"/>
      <c r="G93"/>
      <c r="H93"/>
      <c r="I93"/>
      <c r="J93"/>
      <c r="K93"/>
      <c r="L93" s="8"/>
      <c r="N93"/>
      <c r="O93"/>
      <c r="P93"/>
      <c r="Q93"/>
      <c r="R93"/>
      <c r="S93"/>
      <c r="T93"/>
      <c r="U93"/>
      <c r="V93"/>
      <c r="W93"/>
      <c r="X93"/>
      <c r="Y93"/>
      <c r="Z93"/>
      <c r="AA93"/>
      <c r="AB93"/>
      <c r="AC93"/>
      <c r="AD93"/>
      <c r="AE93"/>
      <c r="AF93"/>
      <c r="AG93"/>
    </row>
    <row r="94" spans="1:33" s="5" customFormat="1" x14ac:dyDescent="0.2">
      <c r="A94"/>
      <c r="B94"/>
      <c r="C94" s="25"/>
      <c r="D94" s="25"/>
      <c r="E94" s="25"/>
      <c r="F94" s="25"/>
      <c r="G94" s="25"/>
      <c r="H94" s="25"/>
      <c r="I94" s="25"/>
      <c r="J94"/>
      <c r="K94"/>
      <c r="L94" s="8"/>
      <c r="N94"/>
      <c r="O94"/>
      <c r="P94"/>
      <c r="Q94"/>
      <c r="R94"/>
      <c r="S94"/>
      <c r="T94"/>
      <c r="U94"/>
      <c r="V94"/>
      <c r="W94"/>
      <c r="X94"/>
      <c r="Y94"/>
      <c r="Z94"/>
      <c r="AA94"/>
      <c r="AB94"/>
      <c r="AC94"/>
      <c r="AD94"/>
      <c r="AE94"/>
      <c r="AF94"/>
      <c r="AG94"/>
    </row>
    <row r="95" spans="1:33" s="5" customFormat="1" x14ac:dyDescent="0.2">
      <c r="A95"/>
      <c r="B95" s="27" t="s">
        <v>188</v>
      </c>
      <c r="C95" s="23"/>
      <c r="D95" s="23"/>
      <c r="E95" s="23"/>
      <c r="F95" s="23"/>
      <c r="G95" s="23"/>
      <c r="H95" s="23"/>
      <c r="I95" s="23"/>
      <c r="J95" s="23"/>
      <c r="K95"/>
      <c r="L95" s="8"/>
      <c r="N95"/>
      <c r="O95"/>
      <c r="P95"/>
      <c r="Q95"/>
      <c r="R95"/>
      <c r="S95"/>
      <c r="T95"/>
      <c r="U95"/>
      <c r="V95"/>
      <c r="W95"/>
      <c r="X95"/>
      <c r="Y95"/>
      <c r="Z95"/>
      <c r="AA95"/>
      <c r="AB95"/>
      <c r="AC95"/>
      <c r="AD95"/>
      <c r="AE95"/>
      <c r="AF95"/>
      <c r="AG95"/>
    </row>
    <row r="96" spans="1:33" s="5" customFormat="1" x14ac:dyDescent="0.2">
      <c r="A96"/>
      <c r="B96" s="17"/>
      <c r="C96"/>
      <c r="D96"/>
      <c r="E96"/>
      <c r="F96"/>
      <c r="G96"/>
      <c r="H96"/>
      <c r="I96"/>
      <c r="J96"/>
      <c r="K96"/>
      <c r="L96" s="8"/>
      <c r="N96"/>
      <c r="O96"/>
      <c r="P96"/>
      <c r="Q96"/>
      <c r="R96"/>
      <c r="S96"/>
      <c r="T96"/>
      <c r="U96"/>
      <c r="V96"/>
      <c r="W96"/>
      <c r="X96"/>
      <c r="Y96"/>
      <c r="Z96"/>
      <c r="AA96"/>
      <c r="AB96"/>
      <c r="AC96"/>
      <c r="AD96"/>
      <c r="AE96"/>
      <c r="AF96"/>
      <c r="AG96"/>
    </row>
    <row r="97" spans="1:33" s="5" customFormat="1" x14ac:dyDescent="0.2">
      <c r="A97"/>
      <c r="B97" s="17"/>
      <c r="C97"/>
      <c r="D97"/>
      <c r="E97"/>
      <c r="F97"/>
      <c r="G97"/>
      <c r="H97"/>
      <c r="I97"/>
      <c r="J97"/>
      <c r="K97"/>
      <c r="L97" s="8"/>
      <c r="N97"/>
      <c r="O97"/>
      <c r="P97"/>
      <c r="Q97"/>
      <c r="R97"/>
      <c r="S97"/>
      <c r="T97"/>
      <c r="U97"/>
      <c r="V97"/>
      <c r="W97"/>
      <c r="X97"/>
      <c r="Y97"/>
      <c r="Z97"/>
      <c r="AA97"/>
      <c r="AB97"/>
      <c r="AC97"/>
      <c r="AD97"/>
      <c r="AE97"/>
      <c r="AF97"/>
      <c r="AG97"/>
    </row>
    <row r="98" spans="1:33" s="5" customFormat="1" x14ac:dyDescent="0.2">
      <c r="A98"/>
      <c r="B98"/>
      <c r="C98"/>
      <c r="D98"/>
      <c r="E98"/>
      <c r="F98"/>
      <c r="G98"/>
      <c r="H98"/>
      <c r="I98"/>
      <c r="J98"/>
      <c r="K98"/>
      <c r="L98" s="8"/>
      <c r="N98"/>
      <c r="O98"/>
      <c r="P98"/>
      <c r="Q98"/>
      <c r="R98"/>
      <c r="S98"/>
      <c r="T98"/>
      <c r="U98"/>
      <c r="V98"/>
      <c r="W98"/>
      <c r="X98"/>
      <c r="Y98"/>
      <c r="Z98"/>
      <c r="AA98"/>
      <c r="AB98"/>
      <c r="AC98"/>
      <c r="AD98"/>
      <c r="AE98"/>
      <c r="AF98"/>
      <c r="AG98"/>
    </row>
    <row r="99" spans="1:33" s="5" customFormat="1" x14ac:dyDescent="0.2">
      <c r="A99" s="134" t="s">
        <v>154</v>
      </c>
      <c r="B99"/>
      <c r="C99"/>
      <c r="D99"/>
      <c r="E99"/>
      <c r="F99"/>
      <c r="G99"/>
      <c r="H99"/>
      <c r="I99"/>
      <c r="J99"/>
      <c r="K99"/>
      <c r="L99" s="8"/>
      <c r="N99"/>
      <c r="O99"/>
      <c r="P99"/>
      <c r="Q99"/>
      <c r="R99"/>
      <c r="S99"/>
      <c r="T99"/>
      <c r="U99"/>
      <c r="V99"/>
      <c r="W99"/>
      <c r="X99"/>
      <c r="Y99"/>
      <c r="Z99"/>
      <c r="AA99"/>
      <c r="AB99"/>
      <c r="AC99"/>
      <c r="AD99"/>
      <c r="AE99"/>
      <c r="AF99"/>
      <c r="AG99"/>
    </row>
    <row r="100" spans="1:33" s="5" customFormat="1" ht="12.75" customHeight="1" x14ac:dyDescent="0.2">
      <c r="A100" s="157" t="s">
        <v>189</v>
      </c>
      <c r="B100" s="157"/>
      <c r="C100" s="157"/>
      <c r="D100" s="157"/>
      <c r="E100" s="157"/>
      <c r="F100" s="157"/>
      <c r="G100" s="157"/>
      <c r="H100" s="157"/>
      <c r="I100" s="157"/>
      <c r="J100" s="157"/>
      <c r="K100" s="157"/>
      <c r="L100" s="157"/>
      <c r="N100"/>
      <c r="O100"/>
      <c r="P100"/>
      <c r="Q100"/>
      <c r="R100"/>
      <c r="S100"/>
      <c r="T100"/>
      <c r="U100"/>
      <c r="V100"/>
      <c r="W100"/>
      <c r="X100"/>
      <c r="Y100"/>
      <c r="Z100"/>
      <c r="AA100"/>
      <c r="AB100"/>
      <c r="AC100"/>
      <c r="AD100"/>
      <c r="AE100"/>
      <c r="AF100"/>
      <c r="AG100"/>
    </row>
    <row r="101" spans="1:33" s="5" customFormat="1" ht="12.75" customHeight="1" x14ac:dyDescent="0.2">
      <c r="A101" s="157"/>
      <c r="B101" s="157"/>
      <c r="C101" s="157"/>
      <c r="D101" s="157"/>
      <c r="E101" s="157"/>
      <c r="F101" s="157"/>
      <c r="G101" s="157"/>
      <c r="H101" s="157"/>
      <c r="I101" s="157"/>
      <c r="J101" s="157"/>
      <c r="K101" s="157"/>
      <c r="L101" s="157"/>
      <c r="N101"/>
      <c r="O101"/>
      <c r="P101"/>
      <c r="Q101"/>
      <c r="R101"/>
      <c r="S101"/>
      <c r="T101"/>
      <c r="U101"/>
      <c r="V101"/>
      <c r="W101"/>
      <c r="X101"/>
      <c r="Y101"/>
      <c r="Z101"/>
      <c r="AA101"/>
      <c r="AB101"/>
      <c r="AC101"/>
      <c r="AD101"/>
      <c r="AE101"/>
      <c r="AF101"/>
      <c r="AG101"/>
    </row>
    <row r="102" spans="1:33" s="5" customFormat="1" x14ac:dyDescent="0.2">
      <c r="A102" s="29" t="s">
        <v>9</v>
      </c>
      <c r="B102" s="136"/>
      <c r="C102" s="136"/>
      <c r="D102" s="136"/>
      <c r="E102" s="136"/>
      <c r="F102" s="136"/>
      <c r="G102" s="136"/>
      <c r="H102" s="136"/>
      <c r="I102" s="136"/>
      <c r="J102" s="136"/>
      <c r="K102" s="136"/>
      <c r="L102" s="136"/>
      <c r="N102"/>
      <c r="O102"/>
      <c r="P102"/>
      <c r="Q102"/>
      <c r="R102"/>
      <c r="S102"/>
      <c r="T102"/>
      <c r="U102"/>
      <c r="V102"/>
      <c r="W102"/>
      <c r="X102"/>
      <c r="Y102"/>
      <c r="Z102"/>
      <c r="AA102"/>
      <c r="AB102"/>
      <c r="AC102"/>
      <c r="AD102"/>
      <c r="AE102"/>
      <c r="AF102"/>
      <c r="AG102"/>
    </row>
    <row r="103" spans="1:33" s="5" customFormat="1" x14ac:dyDescent="0.2">
      <c r="A103" s="136"/>
      <c r="B103" s="136"/>
      <c r="C103" s="136"/>
      <c r="D103" s="158" t="s">
        <v>8</v>
      </c>
      <c r="E103" s="159">
        <v>200</v>
      </c>
      <c r="F103" s="142" t="s">
        <v>5</v>
      </c>
      <c r="G103" s="136"/>
      <c r="H103" s="136"/>
      <c r="I103" s="136"/>
      <c r="J103" s="136"/>
      <c r="K103" s="136"/>
      <c r="L103" s="158"/>
      <c r="N103"/>
      <c r="O103"/>
      <c r="P103"/>
      <c r="Q103"/>
      <c r="R103"/>
      <c r="S103"/>
      <c r="T103"/>
      <c r="U103"/>
      <c r="V103"/>
      <c r="W103"/>
      <c r="X103"/>
      <c r="Y103"/>
      <c r="Z103"/>
      <c r="AA103"/>
      <c r="AB103"/>
      <c r="AC103"/>
      <c r="AD103"/>
      <c r="AE103"/>
      <c r="AF103"/>
      <c r="AG103"/>
    </row>
    <row r="104" spans="1:33" s="5" customFormat="1" x14ac:dyDescent="0.2">
      <c r="A104" s="30"/>
      <c r="B104" s="30"/>
      <c r="C104" s="30"/>
      <c r="D104" s="31" t="s">
        <v>18</v>
      </c>
      <c r="E104" s="143">
        <v>60</v>
      </c>
      <c r="F104" s="142" t="s">
        <v>5</v>
      </c>
      <c r="G104" s="30"/>
      <c r="H104" s="30"/>
      <c r="I104" s="30"/>
      <c r="J104" s="30"/>
      <c r="K104" s="30"/>
      <c r="L104" s="31"/>
      <c r="N104"/>
      <c r="O104"/>
      <c r="P104"/>
      <c r="Q104"/>
      <c r="R104"/>
      <c r="S104"/>
      <c r="T104"/>
      <c r="U104"/>
      <c r="V104"/>
      <c r="W104"/>
      <c r="X104"/>
      <c r="Y104"/>
      <c r="Z104"/>
      <c r="AA104"/>
      <c r="AB104"/>
      <c r="AC104"/>
      <c r="AD104"/>
      <c r="AE104"/>
      <c r="AF104"/>
      <c r="AG104"/>
    </row>
    <row r="105" spans="1:33" s="5" customFormat="1" x14ac:dyDescent="0.2">
      <c r="A105" s="30"/>
      <c r="B105" s="30"/>
      <c r="C105" s="30"/>
      <c r="D105" s="31"/>
      <c r="E105" s="43"/>
      <c r="F105" s="142"/>
      <c r="G105" s="30"/>
      <c r="H105" s="30"/>
      <c r="I105" s="30"/>
      <c r="J105" s="30"/>
      <c r="K105" s="30"/>
      <c r="L105" s="31"/>
      <c r="N105"/>
      <c r="O105"/>
      <c r="P105"/>
      <c r="Q105"/>
      <c r="R105"/>
      <c r="S105"/>
      <c r="T105"/>
      <c r="U105"/>
      <c r="V105"/>
      <c r="W105"/>
      <c r="X105"/>
      <c r="Y105"/>
      <c r="Z105"/>
      <c r="AA105"/>
      <c r="AB105"/>
      <c r="AC105"/>
      <c r="AD105"/>
      <c r="AE105"/>
      <c r="AF105"/>
      <c r="AG105"/>
    </row>
    <row r="106" spans="1:33" s="5" customFormat="1" x14ac:dyDescent="0.2">
      <c r="A106" s="134" t="s">
        <v>153</v>
      </c>
      <c r="B106"/>
      <c r="C106"/>
      <c r="D106" s="8"/>
      <c r="E106" s="19"/>
      <c r="F106" s="10"/>
      <c r="G106"/>
      <c r="H106"/>
      <c r="I106"/>
      <c r="J106"/>
      <c r="K106"/>
      <c r="L106" s="8"/>
      <c r="N106"/>
      <c r="O106"/>
      <c r="P106"/>
      <c r="Q106"/>
      <c r="R106"/>
      <c r="S106"/>
      <c r="T106"/>
      <c r="U106"/>
      <c r="V106"/>
      <c r="W106"/>
      <c r="X106"/>
      <c r="Y106"/>
      <c r="Z106"/>
      <c r="AA106"/>
      <c r="AB106"/>
      <c r="AC106"/>
      <c r="AD106"/>
      <c r="AE106"/>
      <c r="AF106"/>
      <c r="AG106"/>
    </row>
    <row r="107" spans="1:33" s="5" customFormat="1" x14ac:dyDescent="0.2">
      <c r="A107" s="153" t="s">
        <v>179</v>
      </c>
      <c r="B107" s="44"/>
      <c r="C107" s="44"/>
      <c r="D107" s="44"/>
      <c r="E107" s="44"/>
      <c r="F107" s="44"/>
      <c r="G107" s="44"/>
      <c r="H107" s="44"/>
      <c r="I107" s="44"/>
      <c r="J107" s="44"/>
      <c r="K107" s="44"/>
      <c r="L107" s="44"/>
      <c r="N107"/>
      <c r="O107"/>
      <c r="P107"/>
      <c r="Q107"/>
      <c r="R107"/>
      <c r="S107"/>
      <c r="T107"/>
      <c r="U107"/>
      <c r="V107"/>
      <c r="W107"/>
      <c r="X107"/>
      <c r="Y107"/>
      <c r="Z107"/>
      <c r="AA107"/>
      <c r="AB107"/>
      <c r="AC107"/>
      <c r="AD107"/>
      <c r="AE107"/>
      <c r="AF107"/>
      <c r="AG107"/>
    </row>
    <row r="108" spans="1:33" s="5" customFormat="1" x14ac:dyDescent="0.2">
      <c r="A108" s="44"/>
      <c r="B108" s="44"/>
      <c r="C108" s="44"/>
      <c r="D108" s="44"/>
      <c r="E108" s="44"/>
      <c r="F108" s="44"/>
      <c r="G108" s="44"/>
      <c r="H108" s="44"/>
      <c r="I108" s="44"/>
      <c r="J108" s="44"/>
      <c r="K108" s="44"/>
      <c r="L108" s="44"/>
      <c r="N108"/>
      <c r="O108"/>
      <c r="P108"/>
      <c r="Q108"/>
      <c r="R108"/>
      <c r="S108"/>
      <c r="T108"/>
      <c r="U108"/>
      <c r="V108"/>
      <c r="W108"/>
      <c r="X108"/>
      <c r="Y108"/>
      <c r="Z108"/>
      <c r="AA108"/>
      <c r="AB108"/>
      <c r="AC108"/>
      <c r="AD108"/>
      <c r="AE108"/>
      <c r="AF108"/>
      <c r="AG108"/>
    </row>
    <row r="109" spans="1:33" s="5" customFormat="1" x14ac:dyDescent="0.2">
      <c r="A109" s="154"/>
      <c r="B109" s="30"/>
      <c r="C109" s="30"/>
      <c r="D109" s="31"/>
      <c r="E109" s="43"/>
      <c r="F109" s="142"/>
      <c r="G109" s="30"/>
      <c r="H109" s="30"/>
      <c r="I109" s="30"/>
      <c r="J109" s="30"/>
      <c r="K109" s="30"/>
      <c r="L109" s="31"/>
      <c r="N109"/>
      <c r="O109"/>
      <c r="P109"/>
      <c r="Q109"/>
      <c r="R109"/>
      <c r="S109"/>
      <c r="T109"/>
      <c r="U109"/>
      <c r="V109"/>
      <c r="W109"/>
      <c r="X109"/>
      <c r="Y109"/>
      <c r="Z109"/>
      <c r="AA109"/>
      <c r="AB109"/>
      <c r="AC109"/>
      <c r="AD109"/>
      <c r="AE109"/>
      <c r="AF109"/>
      <c r="AG109"/>
    </row>
    <row r="110" spans="1:33" s="5" customFormat="1" x14ac:dyDescent="0.2">
      <c r="A110" s="29" t="s">
        <v>97</v>
      </c>
      <c r="B110" s="30"/>
      <c r="C110" s="30"/>
      <c r="D110" s="31"/>
      <c r="E110" s="155"/>
      <c r="F110" s="142"/>
      <c r="G110" s="30"/>
      <c r="H110" s="30"/>
      <c r="I110" s="30"/>
      <c r="J110" s="30"/>
      <c r="K110" s="30"/>
      <c r="L110" s="31"/>
      <c r="N110"/>
      <c r="O110"/>
      <c r="P110"/>
      <c r="Q110"/>
      <c r="R110"/>
      <c r="S110"/>
      <c r="T110"/>
      <c r="U110"/>
      <c r="V110"/>
      <c r="W110"/>
      <c r="X110"/>
      <c r="Y110"/>
      <c r="Z110"/>
      <c r="AA110"/>
      <c r="AB110"/>
      <c r="AC110"/>
      <c r="AD110"/>
      <c r="AE110"/>
      <c r="AF110"/>
      <c r="AG110"/>
    </row>
    <row r="111" spans="1:33" s="5" customFormat="1" x14ac:dyDescent="0.2">
      <c r="A111" s="30" t="s">
        <v>99</v>
      </c>
      <c r="B111" s="30"/>
      <c r="C111" s="30"/>
      <c r="D111" s="144"/>
      <c r="E111" s="156">
        <v>-1E-3</v>
      </c>
      <c r="F111" s="142" t="s">
        <v>98</v>
      </c>
      <c r="G111" s="30"/>
      <c r="H111" s="30"/>
      <c r="I111" s="30"/>
      <c r="J111" s="30"/>
      <c r="K111" s="30"/>
      <c r="L111" s="31"/>
      <c r="N111"/>
      <c r="O111"/>
      <c r="P111"/>
      <c r="Q111"/>
      <c r="R111"/>
      <c r="S111"/>
      <c r="T111"/>
      <c r="U111"/>
      <c r="V111"/>
      <c r="W111"/>
      <c r="X111"/>
      <c r="Y111"/>
      <c r="Z111"/>
      <c r="AA111"/>
      <c r="AB111"/>
      <c r="AC111"/>
      <c r="AD111"/>
      <c r="AE111"/>
      <c r="AF111"/>
      <c r="AG111"/>
    </row>
    <row r="112" spans="1:33" s="5" customFormat="1" x14ac:dyDescent="0.2">
      <c r="A112" s="30" t="s">
        <v>100</v>
      </c>
      <c r="B112" s="30"/>
      <c r="C112" s="30"/>
      <c r="D112" s="31"/>
      <c r="E112" s="156">
        <v>6.0000000000000001E-3</v>
      </c>
      <c r="F112" s="142" t="s">
        <v>98</v>
      </c>
      <c r="G112" s="30"/>
      <c r="H112" s="30"/>
      <c r="I112" s="30"/>
      <c r="J112" s="30"/>
      <c r="K112" s="30"/>
      <c r="L112" s="31"/>
      <c r="M112" s="5" t="s">
        <v>118</v>
      </c>
      <c r="N112"/>
      <c r="O112"/>
      <c r="P112"/>
      <c r="Q112"/>
      <c r="R112"/>
      <c r="S112"/>
      <c r="T112"/>
      <c r="U112"/>
      <c r="V112"/>
      <c r="W112"/>
      <c r="X112"/>
      <c r="Y112"/>
      <c r="Z112"/>
      <c r="AA112"/>
      <c r="AB112"/>
      <c r="AC112"/>
      <c r="AD112"/>
      <c r="AE112"/>
      <c r="AF112"/>
      <c r="AG112"/>
    </row>
    <row r="113" spans="1:33" s="5" customFormat="1" x14ac:dyDescent="0.2">
      <c r="A113" s="30"/>
      <c r="B113" s="30"/>
      <c r="C113" s="30"/>
      <c r="D113" s="31"/>
      <c r="E113" s="155"/>
      <c r="F113" s="142"/>
      <c r="G113" s="30"/>
      <c r="H113" s="30"/>
      <c r="I113" s="30"/>
      <c r="J113" s="30"/>
      <c r="K113" s="30"/>
      <c r="L113" s="31"/>
      <c r="N113"/>
      <c r="O113"/>
      <c r="P113"/>
      <c r="Q113"/>
      <c r="R113"/>
      <c r="S113"/>
      <c r="T113"/>
      <c r="U113"/>
      <c r="V113"/>
      <c r="W113"/>
      <c r="X113"/>
      <c r="Y113"/>
      <c r="Z113"/>
      <c r="AA113"/>
      <c r="AB113"/>
      <c r="AC113"/>
      <c r="AD113"/>
      <c r="AE113"/>
      <c r="AF113"/>
      <c r="AG113"/>
    </row>
    <row r="114" spans="1:33" s="5" customFormat="1" ht="12.75" customHeight="1" x14ac:dyDescent="0.2">
      <c r="A114" s="54" t="s">
        <v>180</v>
      </c>
      <c r="B114" s="54"/>
      <c r="C114" s="54"/>
      <c r="D114" s="54"/>
      <c r="E114" s="54"/>
      <c r="F114" s="54"/>
      <c r="G114" s="54"/>
      <c r="H114" s="54"/>
      <c r="I114" s="54"/>
      <c r="J114" s="54"/>
      <c r="K114" s="54"/>
      <c r="L114" s="54"/>
      <c r="N114"/>
      <c r="O114"/>
      <c r="P114"/>
      <c r="Q114"/>
      <c r="R114"/>
      <c r="S114"/>
      <c r="T114"/>
      <c r="U114"/>
      <c r="V114"/>
      <c r="W114"/>
      <c r="X114"/>
      <c r="Y114"/>
      <c r="Z114"/>
      <c r="AA114"/>
      <c r="AB114"/>
      <c r="AC114"/>
      <c r="AD114"/>
      <c r="AE114"/>
      <c r="AF114"/>
      <c r="AG114"/>
    </row>
    <row r="115" spans="1:33" s="5" customFormat="1" x14ac:dyDescent="0.2">
      <c r="A115" s="54"/>
      <c r="B115" s="54"/>
      <c r="C115" s="54"/>
      <c r="D115" s="54"/>
      <c r="E115" s="54"/>
      <c r="F115" s="54"/>
      <c r="G115" s="54"/>
      <c r="H115" s="54"/>
      <c r="I115" s="54"/>
      <c r="J115" s="54"/>
      <c r="K115" s="54"/>
      <c r="L115" s="54"/>
      <c r="N115"/>
      <c r="O115"/>
      <c r="P115"/>
      <c r="Q115"/>
      <c r="R115"/>
      <c r="S115"/>
      <c r="T115"/>
      <c r="U115"/>
      <c r="V115"/>
      <c r="W115"/>
      <c r="X115"/>
      <c r="Y115"/>
      <c r="Z115"/>
      <c r="AA115"/>
      <c r="AB115"/>
      <c r="AC115"/>
      <c r="AD115"/>
      <c r="AE115"/>
      <c r="AF115"/>
      <c r="AG115"/>
    </row>
    <row r="116" spans="1:33" s="5" customFormat="1" x14ac:dyDescent="0.2">
      <c r="A116" s="55"/>
      <c r="B116" s="55"/>
      <c r="C116" s="55"/>
      <c r="D116" s="55"/>
      <c r="E116" s="55"/>
      <c r="F116" s="55"/>
      <c r="G116" s="55"/>
      <c r="H116" s="55"/>
      <c r="I116" s="55"/>
      <c r="J116" s="55"/>
      <c r="K116" s="55"/>
      <c r="L116" s="55"/>
      <c r="N116"/>
      <c r="O116"/>
      <c r="P116"/>
      <c r="Q116"/>
      <c r="R116"/>
      <c r="S116"/>
      <c r="T116"/>
      <c r="U116"/>
      <c r="V116"/>
      <c r="W116"/>
      <c r="X116"/>
      <c r="Y116"/>
      <c r="Z116"/>
      <c r="AA116"/>
      <c r="AB116"/>
      <c r="AC116"/>
      <c r="AD116"/>
      <c r="AE116"/>
      <c r="AF116"/>
      <c r="AG116"/>
    </row>
    <row r="117" spans="1:33" s="5" customFormat="1" x14ac:dyDescent="0.2">
      <c r="A117" s="30" t="s">
        <v>163</v>
      </c>
      <c r="B117" s="30"/>
      <c r="C117" s="30"/>
      <c r="D117" s="31"/>
      <c r="E117" s="156">
        <v>5.0000000000000001E-3</v>
      </c>
      <c r="F117" s="142" t="s">
        <v>98</v>
      </c>
      <c r="G117" s="30"/>
      <c r="H117" s="30"/>
      <c r="I117" s="30"/>
      <c r="J117" s="30"/>
      <c r="K117" s="30"/>
      <c r="L117" s="31" t="s">
        <v>164</v>
      </c>
      <c r="N117"/>
      <c r="O117"/>
      <c r="P117"/>
      <c r="Q117"/>
      <c r="R117"/>
      <c r="S117"/>
      <c r="T117"/>
      <c r="U117"/>
      <c r="V117"/>
      <c r="W117"/>
      <c r="X117"/>
      <c r="Y117"/>
      <c r="Z117"/>
      <c r="AA117"/>
      <c r="AB117"/>
      <c r="AC117"/>
      <c r="AD117"/>
      <c r="AE117"/>
      <c r="AF117"/>
      <c r="AG117"/>
    </row>
    <row r="118" spans="1:33" s="5" customFormat="1" x14ac:dyDescent="0.2">
      <c r="A118"/>
      <c r="B118"/>
      <c r="C118"/>
      <c r="D118" s="8"/>
      <c r="E118" s="14"/>
      <c r="F118" s="10"/>
      <c r="G118"/>
      <c r="H118"/>
      <c r="I118"/>
      <c r="J118"/>
      <c r="K118" s="21"/>
      <c r="L118" s="21"/>
      <c r="N118"/>
      <c r="O118"/>
      <c r="P118"/>
      <c r="Q118"/>
      <c r="R118"/>
      <c r="S118"/>
      <c r="T118"/>
      <c r="U118"/>
      <c r="V118"/>
      <c r="W118"/>
      <c r="X118"/>
      <c r="Y118"/>
      <c r="Z118"/>
      <c r="AA118"/>
      <c r="AB118"/>
      <c r="AC118"/>
      <c r="AD118"/>
      <c r="AE118"/>
      <c r="AF118"/>
      <c r="AG118"/>
    </row>
    <row r="119" spans="1:33" s="5" customFormat="1" x14ac:dyDescent="0.2">
      <c r="A119" s="134" t="s">
        <v>29</v>
      </c>
      <c r="B119"/>
      <c r="C119"/>
      <c r="D119"/>
      <c r="E119"/>
      <c r="F119"/>
      <c r="G119"/>
      <c r="H119"/>
      <c r="I119"/>
      <c r="J119"/>
      <c r="K119"/>
      <c r="L119" s="8"/>
      <c r="N119"/>
      <c r="O119"/>
      <c r="P119"/>
      <c r="Q119"/>
      <c r="R119"/>
      <c r="S119"/>
      <c r="T119"/>
      <c r="U119"/>
      <c r="V119"/>
      <c r="W119"/>
      <c r="X119"/>
      <c r="Y119"/>
      <c r="Z119"/>
      <c r="AA119"/>
      <c r="AB119"/>
      <c r="AC119"/>
      <c r="AD119"/>
      <c r="AE119"/>
      <c r="AF119"/>
      <c r="AG119"/>
    </row>
    <row r="120" spans="1:33" s="5" customFormat="1" ht="12.75" customHeight="1" x14ac:dyDescent="0.2">
      <c r="A120" s="135" t="s">
        <v>167</v>
      </c>
      <c r="B120" s="135"/>
      <c r="C120" s="135"/>
      <c r="D120" s="135"/>
      <c r="E120" s="135"/>
      <c r="F120" s="135"/>
      <c r="G120" s="135"/>
      <c r="H120" s="135"/>
      <c r="I120" s="135"/>
      <c r="J120" s="135"/>
      <c r="K120" s="135"/>
      <c r="L120" s="135"/>
      <c r="N120"/>
      <c r="O120"/>
      <c r="P120"/>
      <c r="Q120"/>
      <c r="R120"/>
      <c r="S120"/>
      <c r="T120"/>
      <c r="U120"/>
      <c r="V120"/>
      <c r="W120"/>
      <c r="X120"/>
      <c r="Y120"/>
      <c r="Z120"/>
      <c r="AA120"/>
      <c r="AB120"/>
      <c r="AC120"/>
      <c r="AD120"/>
      <c r="AE120"/>
      <c r="AF120"/>
      <c r="AG120"/>
    </row>
    <row r="121" spans="1:33" s="5" customFormat="1" x14ac:dyDescent="0.2">
      <c r="A121" s="135"/>
      <c r="B121" s="135"/>
      <c r="C121" s="135"/>
      <c r="D121" s="135"/>
      <c r="E121" s="135"/>
      <c r="F121" s="135"/>
      <c r="G121" s="135"/>
      <c r="H121" s="135"/>
      <c r="I121" s="135"/>
      <c r="J121" s="135"/>
      <c r="K121" s="135"/>
      <c r="L121" s="135"/>
      <c r="N121"/>
      <c r="O121"/>
      <c r="P121"/>
      <c r="Q121"/>
      <c r="R121"/>
      <c r="S121"/>
      <c r="T121"/>
      <c r="U121"/>
      <c r="V121"/>
      <c r="W121"/>
      <c r="X121"/>
      <c r="Y121"/>
      <c r="Z121"/>
      <c r="AA121"/>
      <c r="AB121"/>
      <c r="AC121"/>
      <c r="AD121"/>
      <c r="AE121"/>
      <c r="AF121"/>
      <c r="AG121"/>
    </row>
    <row r="122" spans="1:33" s="5" customFormat="1" x14ac:dyDescent="0.2">
      <c r="A122" s="135"/>
      <c r="B122" s="135"/>
      <c r="C122" s="135"/>
      <c r="D122" s="135"/>
      <c r="E122" s="135"/>
      <c r="F122" s="135"/>
      <c r="G122" s="135"/>
      <c r="H122" s="135"/>
      <c r="I122" s="135"/>
      <c r="J122" s="135"/>
      <c r="K122" s="135"/>
      <c r="L122" s="135"/>
      <c r="N122"/>
      <c r="O122"/>
      <c r="P122"/>
      <c r="Q122"/>
      <c r="R122"/>
      <c r="S122"/>
      <c r="T122"/>
      <c r="U122"/>
      <c r="V122"/>
      <c r="W122"/>
      <c r="X122"/>
      <c r="Y122"/>
      <c r="Z122"/>
      <c r="AA122"/>
      <c r="AB122"/>
      <c r="AC122"/>
      <c r="AD122"/>
      <c r="AE122"/>
      <c r="AF122"/>
      <c r="AG122"/>
    </row>
    <row r="123" spans="1:33" s="5" customFormat="1" x14ac:dyDescent="0.2">
      <c r="A123" s="135"/>
      <c r="B123" s="135"/>
      <c r="C123" s="135"/>
      <c r="D123" s="135"/>
      <c r="E123" s="135"/>
      <c r="F123" s="135"/>
      <c r="G123" s="135"/>
      <c r="H123" s="135"/>
      <c r="I123" s="135"/>
      <c r="J123" s="135"/>
      <c r="K123" s="135"/>
      <c r="L123" s="135"/>
      <c r="N123"/>
      <c r="O123"/>
      <c r="P123"/>
      <c r="Q123"/>
      <c r="R123"/>
      <c r="S123"/>
      <c r="T123"/>
      <c r="U123"/>
      <c r="V123"/>
      <c r="W123"/>
      <c r="X123"/>
      <c r="Y123"/>
      <c r="Z123"/>
      <c r="AA123"/>
      <c r="AB123"/>
      <c r="AC123"/>
      <c r="AD123"/>
      <c r="AE123"/>
      <c r="AF123"/>
      <c r="AG123"/>
    </row>
    <row r="124" spans="1:33" s="5" customFormat="1" x14ac:dyDescent="0.2">
      <c r="A124" s="136"/>
      <c r="B124" s="136"/>
      <c r="C124" s="136"/>
      <c r="D124" s="136"/>
      <c r="E124" s="136"/>
      <c r="F124" s="136"/>
      <c r="G124" s="136"/>
      <c r="H124" s="136"/>
      <c r="I124" s="136"/>
      <c r="J124" s="136"/>
      <c r="K124" s="136"/>
      <c r="L124" s="136"/>
      <c r="N124"/>
      <c r="O124"/>
      <c r="P124"/>
      <c r="Q124"/>
      <c r="R124"/>
      <c r="S124"/>
      <c r="T124"/>
      <c r="U124"/>
      <c r="V124"/>
      <c r="W124"/>
      <c r="X124"/>
      <c r="Y124"/>
      <c r="Z124"/>
      <c r="AA124"/>
      <c r="AB124"/>
      <c r="AC124"/>
      <c r="AD124"/>
      <c r="AE124"/>
      <c r="AF124"/>
      <c r="AG124"/>
    </row>
    <row r="125" spans="1:33" s="5" customFormat="1" x14ac:dyDescent="0.2">
      <c r="A125" s="137" t="s">
        <v>178</v>
      </c>
      <c r="B125" s="136"/>
      <c r="C125" s="136"/>
      <c r="D125" s="136"/>
      <c r="E125" s="136"/>
      <c r="F125" s="136"/>
      <c r="G125" s="136"/>
      <c r="H125" s="136"/>
      <c r="I125" s="136"/>
      <c r="J125" s="136"/>
      <c r="K125" s="136"/>
      <c r="L125" s="136"/>
      <c r="N125"/>
      <c r="O125"/>
      <c r="P125"/>
      <c r="Q125"/>
      <c r="R125"/>
      <c r="S125"/>
      <c r="T125"/>
      <c r="U125"/>
      <c r="V125"/>
      <c r="W125"/>
      <c r="X125"/>
      <c r="Y125"/>
      <c r="Z125"/>
      <c r="AA125"/>
      <c r="AB125"/>
      <c r="AC125"/>
      <c r="AD125"/>
      <c r="AE125"/>
      <c r="AF125"/>
      <c r="AG125"/>
    </row>
    <row r="126" spans="1:33" s="5" customFormat="1" x14ac:dyDescent="0.2">
      <c r="A126" s="138"/>
      <c r="B126" s="136"/>
      <c r="C126" s="136"/>
      <c r="D126" s="136"/>
      <c r="E126" s="136"/>
      <c r="F126" s="136"/>
      <c r="G126" s="136"/>
      <c r="H126" s="136"/>
      <c r="I126" s="136"/>
      <c r="J126" s="136"/>
      <c r="K126" s="136"/>
      <c r="L126" s="136"/>
      <c r="N126"/>
      <c r="O126"/>
      <c r="P126"/>
      <c r="Q126"/>
      <c r="R126"/>
      <c r="S126"/>
      <c r="T126"/>
      <c r="U126"/>
      <c r="V126"/>
      <c r="W126"/>
      <c r="X126"/>
      <c r="Y126"/>
      <c r="Z126"/>
      <c r="AA126"/>
      <c r="AB126"/>
      <c r="AC126"/>
      <c r="AD126"/>
      <c r="AE126"/>
      <c r="AF126"/>
      <c r="AG126"/>
    </row>
    <row r="127" spans="1:33" s="5" customFormat="1" x14ac:dyDescent="0.2">
      <c r="A127" s="30" t="s">
        <v>35</v>
      </c>
      <c r="B127" s="30"/>
      <c r="C127" s="30"/>
      <c r="D127" s="31"/>
      <c r="E127" s="139">
        <v>110</v>
      </c>
      <c r="F127" s="140" t="s">
        <v>31</v>
      </c>
      <c r="G127" s="30"/>
      <c r="H127" s="30"/>
      <c r="I127" s="30"/>
      <c r="J127" s="30"/>
      <c r="K127" s="30"/>
      <c r="L127" s="31" t="s">
        <v>166</v>
      </c>
      <c r="N127"/>
      <c r="O127"/>
      <c r="P127"/>
      <c r="Q127"/>
      <c r="R127"/>
      <c r="S127"/>
      <c r="T127"/>
      <c r="U127"/>
      <c r="V127"/>
      <c r="W127"/>
      <c r="X127"/>
      <c r="Y127"/>
      <c r="Z127"/>
      <c r="AA127"/>
      <c r="AB127"/>
      <c r="AC127"/>
      <c r="AD127"/>
      <c r="AE127"/>
      <c r="AF127"/>
      <c r="AG127"/>
    </row>
    <row r="128" spans="1:33" s="5" customFormat="1" x14ac:dyDescent="0.2">
      <c r="A128" s="30" t="s">
        <v>36</v>
      </c>
      <c r="B128" s="30"/>
      <c r="C128" s="30"/>
      <c r="D128" s="31"/>
      <c r="E128" s="139">
        <v>-10</v>
      </c>
      <c r="F128" s="140" t="s">
        <v>31</v>
      </c>
      <c r="G128" s="30"/>
      <c r="H128" s="30"/>
      <c r="I128" s="30"/>
      <c r="J128" s="30"/>
      <c r="K128" s="30"/>
      <c r="L128" s="31" t="s">
        <v>173</v>
      </c>
      <c r="N128"/>
      <c r="O128"/>
      <c r="P128"/>
      <c r="Q128"/>
      <c r="R128"/>
      <c r="S128"/>
      <c r="T128"/>
      <c r="U128"/>
      <c r="V128"/>
      <c r="W128"/>
      <c r="X128"/>
      <c r="Y128"/>
      <c r="Z128"/>
      <c r="AA128"/>
      <c r="AB128"/>
      <c r="AC128"/>
      <c r="AD128"/>
      <c r="AE128"/>
      <c r="AF128"/>
      <c r="AG128"/>
    </row>
    <row r="129" spans="1:33" s="5" customFormat="1" ht="12.75" customHeight="1" x14ac:dyDescent="0.2">
      <c r="A129" s="30" t="s">
        <v>37</v>
      </c>
      <c r="B129" s="30"/>
      <c r="C129" s="30"/>
      <c r="D129" s="31"/>
      <c r="E129" s="141">
        <v>6.0000000000000002E-6</v>
      </c>
      <c r="F129" s="142" t="s">
        <v>32</v>
      </c>
      <c r="G129" s="30"/>
      <c r="H129" s="30"/>
      <c r="I129" s="30"/>
      <c r="J129" s="30"/>
      <c r="K129" s="30"/>
      <c r="L129" s="31" t="s">
        <v>50</v>
      </c>
      <c r="N129"/>
      <c r="O129"/>
      <c r="P129"/>
      <c r="Q129"/>
      <c r="R129"/>
      <c r="S129"/>
      <c r="T129"/>
      <c r="U129"/>
      <c r="V129"/>
      <c r="W129"/>
      <c r="X129"/>
      <c r="Y129"/>
      <c r="Z129"/>
      <c r="AA129"/>
      <c r="AB129"/>
      <c r="AC129"/>
      <c r="AD129"/>
      <c r="AE129"/>
      <c r="AF129"/>
      <c r="AG129"/>
    </row>
    <row r="130" spans="1:33" s="5" customFormat="1" x14ac:dyDescent="0.2">
      <c r="A130" s="30" t="s">
        <v>38</v>
      </c>
      <c r="B130" s="30"/>
      <c r="C130" s="30"/>
      <c r="D130" s="31"/>
      <c r="E130" s="143">
        <v>150</v>
      </c>
      <c r="F130" s="142" t="s">
        <v>33</v>
      </c>
      <c r="G130" s="73">
        <f>E130*12</f>
        <v>1800</v>
      </c>
      <c r="H130" s="30"/>
      <c r="I130" s="30"/>
      <c r="J130" s="30"/>
      <c r="K130" s="30"/>
      <c r="L130" s="31"/>
      <c r="N130"/>
      <c r="O130"/>
      <c r="P130"/>
      <c r="Q130"/>
      <c r="R130"/>
      <c r="S130"/>
      <c r="T130"/>
      <c r="U130"/>
      <c r="V130"/>
      <c r="W130"/>
      <c r="X130"/>
      <c r="Y130"/>
      <c r="Z130"/>
      <c r="AA130"/>
      <c r="AB130"/>
      <c r="AC130"/>
      <c r="AD130"/>
      <c r="AE130"/>
      <c r="AF130"/>
      <c r="AG130"/>
    </row>
    <row r="131" spans="1:33" s="5" customFormat="1" x14ac:dyDescent="0.2">
      <c r="A131" s="30" t="s">
        <v>130</v>
      </c>
      <c r="B131" s="30"/>
      <c r="C131" s="30"/>
      <c r="D131" s="31"/>
      <c r="E131" s="43">
        <v>1.2</v>
      </c>
      <c r="F131" s="142"/>
      <c r="G131" s="73"/>
      <c r="H131" s="30"/>
      <c r="I131" s="30"/>
      <c r="J131" s="30"/>
      <c r="K131" s="30"/>
      <c r="L131" s="31" t="s">
        <v>116</v>
      </c>
      <c r="N131"/>
      <c r="O131"/>
      <c r="P131"/>
      <c r="Q131"/>
      <c r="R131"/>
      <c r="S131"/>
      <c r="T131"/>
      <c r="U131"/>
      <c r="V131"/>
      <c r="W131"/>
      <c r="X131"/>
      <c r="Y131"/>
      <c r="Z131"/>
      <c r="AA131"/>
      <c r="AB131"/>
      <c r="AC131"/>
      <c r="AD131"/>
      <c r="AE131"/>
      <c r="AF131"/>
      <c r="AG131"/>
    </row>
    <row r="132" spans="1:33" s="5" customFormat="1" x14ac:dyDescent="0.2">
      <c r="A132" s="30" t="s">
        <v>162</v>
      </c>
      <c r="B132" s="30"/>
      <c r="C132" s="30"/>
      <c r="D132" s="144"/>
      <c r="E132" s="43">
        <v>1</v>
      </c>
      <c r="F132" s="142"/>
      <c r="G132" s="73"/>
      <c r="H132" s="30"/>
      <c r="I132" s="30"/>
      <c r="J132" s="30"/>
      <c r="K132" s="30"/>
      <c r="L132" s="31" t="s">
        <v>165</v>
      </c>
      <c r="N132"/>
      <c r="O132"/>
      <c r="P132"/>
      <c r="Q132"/>
      <c r="R132"/>
      <c r="S132"/>
      <c r="T132"/>
      <c r="U132"/>
      <c r="V132"/>
      <c r="W132"/>
      <c r="X132"/>
      <c r="Y132"/>
      <c r="Z132"/>
      <c r="AA132"/>
      <c r="AB132"/>
      <c r="AC132"/>
      <c r="AD132"/>
      <c r="AE132"/>
      <c r="AF132"/>
      <c r="AG132"/>
    </row>
    <row r="133" spans="1:33" s="5" customFormat="1" x14ac:dyDescent="0.2">
      <c r="A133" s="30"/>
      <c r="B133" s="30"/>
      <c r="C133" s="30"/>
      <c r="D133" s="31"/>
      <c r="E133" s="145"/>
      <c r="F133" s="142"/>
      <c r="G133" s="30"/>
      <c r="H133" s="30"/>
      <c r="I133" s="30"/>
      <c r="J133" s="30"/>
      <c r="K133" s="30"/>
      <c r="L133" s="31"/>
      <c r="N133"/>
      <c r="O133"/>
      <c r="P133"/>
      <c r="Q133"/>
      <c r="R133"/>
      <c r="S133"/>
      <c r="T133"/>
      <c r="U133"/>
      <c r="V133"/>
      <c r="W133"/>
      <c r="X133"/>
      <c r="Y133"/>
      <c r="Z133"/>
      <c r="AA133"/>
      <c r="AB133"/>
      <c r="AC133"/>
      <c r="AD133"/>
      <c r="AE133"/>
      <c r="AF133"/>
      <c r="AG133"/>
    </row>
    <row r="134" spans="1:33" s="5" customFormat="1" x14ac:dyDescent="0.2">
      <c r="A134" s="30"/>
      <c r="B134" s="30"/>
      <c r="C134" s="31"/>
      <c r="D134" s="31"/>
      <c r="E134" s="140" t="str">
        <f>TEXT(E129,"0.0E-0")&amp;"*"&amp;TEXT(G130,"0.00")&amp;"*["&amp;TEXT(E127,"0")&amp;"-("&amp;TEXT(E128,"0")&amp;")]"&amp;" ="</f>
        <v>6.0E-6*1800.00*[110-(-10)] =</v>
      </c>
      <c r="F134" s="142"/>
      <c r="G134" s="142"/>
      <c r="H134" s="73">
        <f>E129*E130*12*(E127-E128)</f>
        <v>1.296</v>
      </c>
      <c r="I134" s="30"/>
      <c r="J134" s="30"/>
      <c r="K134" s="30"/>
      <c r="L134" s="31" t="s">
        <v>30</v>
      </c>
      <c r="N134"/>
      <c r="O134"/>
      <c r="P134"/>
      <c r="Q134"/>
      <c r="R134"/>
      <c r="S134"/>
      <c r="T134"/>
      <c r="U134"/>
      <c r="V134"/>
      <c r="W134"/>
      <c r="X134"/>
      <c r="Y134"/>
      <c r="Z134"/>
      <c r="AA134"/>
      <c r="AB134"/>
      <c r="AC134"/>
      <c r="AD134"/>
      <c r="AE134"/>
      <c r="AF134"/>
      <c r="AG134"/>
    </row>
    <row r="135" spans="1:33" s="5" customFormat="1" x14ac:dyDescent="0.2">
      <c r="A135" s="30"/>
      <c r="B135" s="30"/>
      <c r="C135" s="31"/>
      <c r="D135" s="31"/>
      <c r="E135" s="140"/>
      <c r="F135" s="142"/>
      <c r="G135" s="142"/>
      <c r="H135" s="73"/>
      <c r="I135" s="30"/>
      <c r="J135" s="30"/>
      <c r="K135" s="30"/>
      <c r="L135" s="31"/>
      <c r="N135"/>
      <c r="O135"/>
      <c r="P135"/>
      <c r="Q135"/>
      <c r="R135"/>
      <c r="S135"/>
      <c r="T135"/>
      <c r="U135"/>
      <c r="V135"/>
      <c r="W135"/>
      <c r="X135"/>
      <c r="Y135"/>
      <c r="Z135"/>
      <c r="AA135"/>
      <c r="AB135"/>
      <c r="AC135"/>
      <c r="AD135"/>
      <c r="AE135"/>
      <c r="AF135"/>
      <c r="AG135"/>
    </row>
    <row r="136" spans="1:33" s="5" customFormat="1" x14ac:dyDescent="0.2">
      <c r="A136" s="29" t="s">
        <v>190</v>
      </c>
      <c r="B136" s="30"/>
      <c r="C136" s="30"/>
      <c r="D136" s="47"/>
      <c r="E136" s="140"/>
      <c r="F136" s="142"/>
      <c r="G136" s="142"/>
      <c r="H136" s="30"/>
      <c r="I136" s="30"/>
      <c r="J136" s="30"/>
      <c r="K136" s="30"/>
      <c r="L136" s="31"/>
      <c r="N136"/>
      <c r="O136"/>
      <c r="P136"/>
      <c r="Q136"/>
      <c r="R136"/>
      <c r="S136"/>
      <c r="T136"/>
      <c r="U136"/>
      <c r="V136"/>
      <c r="W136"/>
      <c r="X136"/>
      <c r="Y136"/>
      <c r="Z136"/>
      <c r="AA136"/>
      <c r="AB136"/>
      <c r="AC136"/>
      <c r="AD136"/>
      <c r="AE136"/>
      <c r="AF136"/>
      <c r="AG136"/>
    </row>
    <row r="137" spans="1:33" s="5" customFormat="1" x14ac:dyDescent="0.2">
      <c r="A137" s="37"/>
      <c r="B137" s="30"/>
      <c r="C137" s="30"/>
      <c r="D137" s="47"/>
      <c r="E137" s="140"/>
      <c r="F137" s="142"/>
      <c r="G137" s="142"/>
      <c r="H137" s="30"/>
      <c r="I137" s="30"/>
      <c r="J137" s="30"/>
      <c r="K137" s="30"/>
      <c r="L137" s="31"/>
      <c r="N137"/>
      <c r="O137"/>
      <c r="P137"/>
      <c r="Q137"/>
      <c r="R137"/>
      <c r="S137"/>
      <c r="T137"/>
      <c r="U137"/>
      <c r="V137"/>
      <c r="W137"/>
      <c r="X137"/>
      <c r="Y137"/>
      <c r="Z137"/>
      <c r="AA137"/>
      <c r="AB137"/>
      <c r="AC137"/>
      <c r="AD137"/>
      <c r="AE137"/>
      <c r="AF137"/>
      <c r="AG137"/>
    </row>
    <row r="138" spans="1:33" s="5" customFormat="1" ht="13.5" x14ac:dyDescent="0.2">
      <c r="A138" s="30" t="s">
        <v>39</v>
      </c>
      <c r="B138" s="30"/>
      <c r="C138" s="30"/>
      <c r="D138" s="31" t="s">
        <v>204</v>
      </c>
      <c r="E138" s="146">
        <v>0.57999999999999996</v>
      </c>
      <c r="F138" s="142" t="s">
        <v>4</v>
      </c>
      <c r="G138" s="142"/>
      <c r="H138" s="30"/>
      <c r="I138" s="30"/>
      <c r="J138" s="30"/>
      <c r="K138" s="30"/>
      <c r="L138" s="31"/>
      <c r="N138"/>
      <c r="O138"/>
      <c r="P138"/>
      <c r="Q138"/>
      <c r="R138"/>
      <c r="S138"/>
      <c r="T138"/>
      <c r="U138"/>
      <c r="V138"/>
      <c r="W138"/>
      <c r="X138"/>
      <c r="Y138"/>
      <c r="Z138"/>
      <c r="AA138"/>
      <c r="AB138"/>
      <c r="AC138"/>
      <c r="AD138"/>
      <c r="AE138"/>
      <c r="AF138"/>
      <c r="AG138"/>
    </row>
    <row r="139" spans="1:33" s="5" customFormat="1" ht="13.5" x14ac:dyDescent="0.2">
      <c r="A139" s="30" t="s">
        <v>34</v>
      </c>
      <c r="B139" s="30"/>
      <c r="C139" s="30"/>
      <c r="D139" s="31" t="s">
        <v>205</v>
      </c>
      <c r="E139" s="146">
        <v>0.6</v>
      </c>
      <c r="F139" s="142" t="s">
        <v>4</v>
      </c>
      <c r="G139" s="142"/>
      <c r="H139" s="30"/>
      <c r="I139" s="30"/>
      <c r="J139" s="30"/>
      <c r="K139" s="30"/>
      <c r="L139" s="31"/>
      <c r="N139"/>
      <c r="O139"/>
      <c r="P139"/>
      <c r="Q139"/>
      <c r="R139"/>
      <c r="S139"/>
      <c r="T139"/>
      <c r="U139"/>
      <c r="V139"/>
      <c r="W139"/>
      <c r="X139"/>
      <c r="Y139"/>
      <c r="Z139"/>
      <c r="AA139"/>
      <c r="AB139"/>
      <c r="AC139"/>
      <c r="AD139"/>
      <c r="AE139"/>
      <c r="AF139"/>
      <c r="AG139"/>
    </row>
    <row r="140" spans="1:33" s="5" customFormat="1" ht="13.5" x14ac:dyDescent="0.2">
      <c r="A140" s="30" t="s">
        <v>40</v>
      </c>
      <c r="B140" s="30"/>
      <c r="C140" s="30"/>
      <c r="D140" s="31" t="s">
        <v>206</v>
      </c>
      <c r="E140" s="146">
        <v>0.05</v>
      </c>
      <c r="F140" s="142" t="s">
        <v>4</v>
      </c>
      <c r="G140" s="142"/>
      <c r="H140" s="30"/>
      <c r="I140" s="30"/>
      <c r="J140" s="30"/>
      <c r="K140" s="30"/>
      <c r="L140" s="31"/>
      <c r="N140"/>
      <c r="O140"/>
      <c r="P140"/>
      <c r="Q140"/>
      <c r="R140"/>
      <c r="S140"/>
      <c r="T140"/>
      <c r="U140"/>
      <c r="V140"/>
      <c r="W140"/>
      <c r="X140"/>
      <c r="Y140"/>
      <c r="Z140"/>
      <c r="AA140"/>
      <c r="AB140"/>
      <c r="AC140"/>
      <c r="AD140"/>
      <c r="AE140"/>
      <c r="AF140"/>
      <c r="AG140"/>
    </row>
    <row r="141" spans="1:33" s="5" customFormat="1" ht="13.5" x14ac:dyDescent="0.2">
      <c r="A141" s="30" t="s">
        <v>176</v>
      </c>
      <c r="B141" s="30"/>
      <c r="C141" s="30"/>
      <c r="D141" s="31" t="s">
        <v>207</v>
      </c>
      <c r="E141" s="146">
        <v>0.1</v>
      </c>
      <c r="F141" s="142" t="s">
        <v>4</v>
      </c>
      <c r="G141" s="142"/>
      <c r="H141" s="30"/>
      <c r="I141" s="30"/>
      <c r="J141" s="30"/>
      <c r="K141" s="30"/>
      <c r="L141" s="31"/>
      <c r="N141"/>
      <c r="O141"/>
      <c r="P141"/>
      <c r="Q141"/>
      <c r="R141"/>
      <c r="S141"/>
      <c r="T141"/>
      <c r="U141"/>
      <c r="V141"/>
      <c r="W141"/>
      <c r="X141"/>
      <c r="Y141"/>
      <c r="Z141"/>
      <c r="AA141"/>
      <c r="AB141"/>
      <c r="AC141"/>
      <c r="AD141"/>
      <c r="AE141"/>
      <c r="AF141"/>
      <c r="AG141"/>
    </row>
    <row r="142" spans="1:33" s="5" customFormat="1" ht="13.5" x14ac:dyDescent="0.2">
      <c r="A142" s="30" t="s">
        <v>41</v>
      </c>
      <c r="B142" s="30"/>
      <c r="C142" s="30"/>
      <c r="D142" s="147" t="s">
        <v>208</v>
      </c>
      <c r="E142" s="148">
        <v>0</v>
      </c>
      <c r="F142" s="149" t="s">
        <v>4</v>
      </c>
      <c r="G142" s="142"/>
      <c r="H142" s="30"/>
      <c r="I142" s="30"/>
      <c r="J142" s="30"/>
      <c r="K142" s="30"/>
      <c r="L142" s="31"/>
      <c r="N142"/>
      <c r="O142"/>
      <c r="P142"/>
      <c r="Q142"/>
      <c r="R142"/>
      <c r="S142"/>
      <c r="T142"/>
      <c r="U142"/>
      <c r="V142"/>
      <c r="W142"/>
      <c r="X142"/>
      <c r="Y142"/>
      <c r="Z142"/>
      <c r="AA142"/>
      <c r="AB142"/>
      <c r="AC142"/>
      <c r="AD142"/>
      <c r="AE142"/>
      <c r="AF142"/>
      <c r="AG142"/>
    </row>
    <row r="143" spans="1:33" s="5" customFormat="1" x14ac:dyDescent="0.2">
      <c r="A143" s="30"/>
      <c r="B143" s="30"/>
      <c r="C143" s="30"/>
      <c r="D143" s="31"/>
      <c r="E143" s="150"/>
      <c r="F143" s="142"/>
      <c r="G143" s="142"/>
      <c r="H143" s="30"/>
      <c r="I143" s="30"/>
      <c r="J143" s="30"/>
      <c r="K143" s="30"/>
      <c r="L143" s="31"/>
      <c r="N143"/>
      <c r="O143"/>
      <c r="P143"/>
      <c r="Q143"/>
      <c r="R143"/>
      <c r="S143"/>
      <c r="T143"/>
      <c r="U143"/>
      <c r="V143"/>
      <c r="W143"/>
      <c r="X143"/>
      <c r="Y143"/>
      <c r="Z143"/>
      <c r="AA143"/>
      <c r="AB143"/>
      <c r="AC143"/>
      <c r="AD143"/>
      <c r="AE143"/>
      <c r="AF143"/>
      <c r="AG143"/>
    </row>
    <row r="144" spans="1:33" s="5" customFormat="1" x14ac:dyDescent="0.2">
      <c r="A144" s="30"/>
      <c r="B144" s="30"/>
      <c r="C144" s="30" t="s">
        <v>113</v>
      </c>
      <c r="D144" s="31"/>
      <c r="E144" s="150"/>
      <c r="F144" s="142"/>
      <c r="G144" s="142"/>
      <c r="H144" s="30"/>
      <c r="I144" s="30"/>
      <c r="J144" s="30"/>
      <c r="K144" s="30"/>
      <c r="L144" s="31"/>
      <c r="N144"/>
      <c r="O144"/>
      <c r="P144"/>
      <c r="Q144"/>
      <c r="R144"/>
      <c r="S144"/>
      <c r="T144"/>
      <c r="U144"/>
      <c r="V144"/>
      <c r="W144"/>
      <c r="X144"/>
      <c r="Y144"/>
      <c r="Z144"/>
      <c r="AA144"/>
      <c r="AB144"/>
      <c r="AC144"/>
      <c r="AD144"/>
      <c r="AE144"/>
      <c r="AF144"/>
      <c r="AG144"/>
    </row>
    <row r="145" spans="1:33" s="5" customFormat="1" x14ac:dyDescent="0.2">
      <c r="A145" s="30"/>
      <c r="B145" s="30"/>
      <c r="C145" s="30" t="s">
        <v>114</v>
      </c>
      <c r="D145" s="31"/>
      <c r="E145" s="150"/>
      <c r="F145" s="142"/>
      <c r="G145" s="142"/>
      <c r="H145" s="30"/>
      <c r="I145" s="30"/>
      <c r="J145" s="30"/>
      <c r="K145" s="30"/>
      <c r="L145" s="31"/>
      <c r="N145"/>
      <c r="O145"/>
      <c r="P145"/>
      <c r="Q145"/>
      <c r="R145"/>
      <c r="S145"/>
      <c r="T145"/>
      <c r="U145"/>
      <c r="V145"/>
      <c r="W145"/>
      <c r="X145"/>
      <c r="Y145"/>
      <c r="Z145"/>
      <c r="AA145"/>
      <c r="AB145"/>
      <c r="AC145"/>
      <c r="AD145"/>
      <c r="AE145"/>
      <c r="AF145"/>
      <c r="AG145"/>
    </row>
    <row r="146" spans="1:33" s="5" customFormat="1" x14ac:dyDescent="0.2">
      <c r="A146" s="30"/>
      <c r="B146" s="30"/>
      <c r="C146" s="30"/>
      <c r="D146" s="31"/>
      <c r="E146" s="150"/>
      <c r="F146" s="142"/>
      <c r="G146" s="142"/>
      <c r="H146" s="30"/>
      <c r="I146" s="30"/>
      <c r="J146" s="30"/>
      <c r="K146" s="30"/>
      <c r="L146" s="31"/>
      <c r="N146"/>
      <c r="O146"/>
      <c r="P146"/>
      <c r="Q146"/>
      <c r="R146"/>
      <c r="S146"/>
      <c r="T146"/>
      <c r="U146"/>
      <c r="V146"/>
      <c r="W146"/>
      <c r="X146"/>
      <c r="Y146"/>
      <c r="Z146"/>
      <c r="AA146"/>
      <c r="AB146"/>
      <c r="AC146"/>
      <c r="AD146"/>
      <c r="AE146"/>
      <c r="AF146"/>
      <c r="AG146"/>
    </row>
    <row r="147" spans="1:33" s="5" customFormat="1" x14ac:dyDescent="0.2">
      <c r="A147" s="30"/>
      <c r="B147" s="30" t="s">
        <v>129</v>
      </c>
      <c r="C147" s="30"/>
      <c r="D147" s="31"/>
      <c r="E147" s="150"/>
      <c r="F147" s="142"/>
      <c r="G147" s="142"/>
      <c r="H147" s="30"/>
      <c r="I147" s="30"/>
      <c r="J147" s="45" t="s">
        <v>112</v>
      </c>
      <c r="K147" s="26"/>
      <c r="L147" s="26"/>
      <c r="N147"/>
      <c r="O147"/>
      <c r="P147"/>
      <c r="Q147"/>
      <c r="R147"/>
      <c r="S147"/>
      <c r="T147"/>
      <c r="U147"/>
      <c r="V147"/>
      <c r="W147"/>
      <c r="X147"/>
      <c r="Y147"/>
      <c r="Z147"/>
      <c r="AA147"/>
      <c r="AB147"/>
      <c r="AC147"/>
      <c r="AD147"/>
      <c r="AE147"/>
      <c r="AF147"/>
      <c r="AG147"/>
    </row>
    <row r="148" spans="1:33" s="5" customFormat="1" ht="12.75" customHeight="1" x14ac:dyDescent="0.2">
      <c r="A148" s="30"/>
      <c r="B148" s="30"/>
      <c r="C148" s="30"/>
      <c r="D148" s="47"/>
      <c r="E148" s="140"/>
      <c r="F148" s="142"/>
      <c r="G148" s="142"/>
      <c r="H148" s="30"/>
      <c r="I148" s="30"/>
      <c r="J148" s="26"/>
      <c r="K148" s="26"/>
      <c r="L148" s="26"/>
      <c r="N148"/>
      <c r="O148"/>
      <c r="P148"/>
      <c r="Q148"/>
      <c r="R148"/>
      <c r="S148"/>
      <c r="T148"/>
      <c r="U148"/>
      <c r="V148"/>
      <c r="W148"/>
      <c r="X148"/>
      <c r="Y148"/>
      <c r="Z148"/>
      <c r="AA148"/>
      <c r="AB148"/>
      <c r="AC148"/>
      <c r="AD148"/>
      <c r="AE148"/>
      <c r="AF148"/>
      <c r="AG148"/>
    </row>
    <row r="149" spans="1:33" s="5" customFormat="1" ht="12.75" customHeight="1" x14ac:dyDescent="0.2">
      <c r="A149" s="30"/>
      <c r="B149" s="30"/>
      <c r="C149" s="30"/>
      <c r="D149" s="47"/>
      <c r="E149" s="151"/>
      <c r="F149" s="142"/>
      <c r="G149" s="142"/>
      <c r="H149" s="30"/>
      <c r="I149" s="30"/>
      <c r="J149" s="26"/>
      <c r="K149" s="26"/>
      <c r="L149" s="26"/>
      <c r="N149"/>
      <c r="O149"/>
      <c r="P149"/>
      <c r="Q149"/>
      <c r="R149"/>
      <c r="S149"/>
      <c r="T149"/>
      <c r="U149"/>
      <c r="V149"/>
      <c r="W149"/>
      <c r="X149"/>
      <c r="Y149"/>
      <c r="Z149"/>
      <c r="AA149"/>
      <c r="AB149"/>
      <c r="AC149"/>
      <c r="AD149"/>
      <c r="AE149"/>
      <c r="AF149"/>
      <c r="AG149"/>
    </row>
    <row r="150" spans="1:33" s="5" customFormat="1" x14ac:dyDescent="0.2">
      <c r="A150" s="30"/>
      <c r="B150" s="30"/>
      <c r="C150" s="30"/>
      <c r="D150" s="47"/>
      <c r="E150" s="151"/>
      <c r="F150" s="142"/>
      <c r="G150" s="142"/>
      <c r="H150" s="30"/>
      <c r="I150" s="30"/>
      <c r="J150" s="26"/>
      <c r="K150" s="26"/>
      <c r="L150" s="26"/>
      <c r="N150"/>
      <c r="O150"/>
      <c r="P150"/>
      <c r="Q150"/>
      <c r="R150"/>
      <c r="S150"/>
      <c r="T150"/>
      <c r="U150"/>
      <c r="V150"/>
      <c r="W150"/>
      <c r="X150"/>
      <c r="Y150"/>
      <c r="Z150"/>
      <c r="AA150"/>
      <c r="AB150"/>
      <c r="AC150"/>
      <c r="AD150"/>
      <c r="AE150"/>
      <c r="AF150"/>
      <c r="AG150"/>
    </row>
    <row r="151" spans="1:33" s="5" customFormat="1" x14ac:dyDescent="0.2">
      <c r="A151" s="30"/>
      <c r="B151" s="30"/>
      <c r="C151" s="30" t="str">
        <f>TEXT(E132,"0.00")&amp;"*"&amp;TEXT(E131,"0.00")&amp;"*"&amp;TEXT(H134,"0.00")&amp;"+"&amp;TEXT(E138,"0.00")&amp;"+"&amp;TEXT(E139,"0.00")&amp;"+"&amp;TEXT(E140,"0.00")&amp;"+"&amp;TEXT(E141,"0.00")&amp;"+"&amp;TEXT(E142,"0.00")&amp;" = "</f>
        <v xml:space="preserve">1.00*1.20*1.30+0.58+0.60+0.05+0.10+0.00 = </v>
      </c>
      <c r="D151" s="47"/>
      <c r="E151" s="151"/>
      <c r="F151" s="142"/>
      <c r="G151" s="152">
        <f>E132*E131*H134+E138+E139+E140+E141+E142</f>
        <v>2.8851999999999998</v>
      </c>
      <c r="H151" s="30"/>
      <c r="I151" s="30"/>
      <c r="J151" s="30"/>
      <c r="K151" s="30"/>
      <c r="L151" s="31"/>
      <c r="N151"/>
      <c r="O151"/>
      <c r="P151"/>
      <c r="Q151"/>
      <c r="R151"/>
      <c r="S151"/>
      <c r="T151"/>
      <c r="U151"/>
      <c r="V151"/>
      <c r="W151"/>
      <c r="X151"/>
      <c r="Y151"/>
      <c r="Z151"/>
      <c r="AA151"/>
      <c r="AB151"/>
      <c r="AC151"/>
      <c r="AD151"/>
      <c r="AE151"/>
      <c r="AF151"/>
      <c r="AG151"/>
    </row>
    <row r="152" spans="1:33" s="5" customFormat="1" x14ac:dyDescent="0.2">
      <c r="A152"/>
      <c r="B152"/>
      <c r="C152"/>
      <c r="D152" s="14"/>
      <c r="E152" s="15"/>
      <c r="F152" s="10"/>
      <c r="G152" s="16"/>
      <c r="H152"/>
      <c r="I152"/>
      <c r="J152"/>
      <c r="K152"/>
      <c r="L152" s="8"/>
      <c r="N152"/>
      <c r="O152"/>
      <c r="P152"/>
      <c r="Q152"/>
      <c r="R152"/>
      <c r="S152"/>
      <c r="T152"/>
      <c r="U152"/>
      <c r="V152"/>
      <c r="W152"/>
      <c r="X152"/>
      <c r="Y152"/>
      <c r="Z152"/>
      <c r="AA152"/>
      <c r="AB152"/>
      <c r="AC152"/>
      <c r="AD152"/>
      <c r="AE152"/>
      <c r="AF152"/>
      <c r="AG152"/>
    </row>
    <row r="153" spans="1:33" s="5" customFormat="1" x14ac:dyDescent="0.2">
      <c r="A153" s="134" t="s">
        <v>10</v>
      </c>
      <c r="B153" s="4"/>
      <c r="C153"/>
      <c r="D153"/>
      <c r="E153"/>
      <c r="F153"/>
      <c r="G153"/>
      <c r="H153"/>
      <c r="I153"/>
      <c r="J153"/>
      <c r="K153"/>
      <c r="L153" s="8"/>
      <c r="N153"/>
      <c r="O153"/>
      <c r="P153"/>
      <c r="Q153"/>
      <c r="R153"/>
      <c r="S153"/>
      <c r="T153"/>
      <c r="U153"/>
      <c r="V153"/>
      <c r="W153"/>
      <c r="X153"/>
      <c r="Y153"/>
      <c r="Z153"/>
      <c r="AA153"/>
      <c r="AB153"/>
      <c r="AC153"/>
      <c r="AD153"/>
      <c r="AE153"/>
      <c r="AF153"/>
      <c r="AG153"/>
    </row>
    <row r="154" spans="1:33" s="5" customFormat="1" x14ac:dyDescent="0.2">
      <c r="A154" s="29" t="s">
        <v>11</v>
      </c>
      <c r="B154" s="30"/>
      <c r="C154" s="30"/>
      <c r="D154" s="30"/>
      <c r="E154" s="30"/>
      <c r="F154" s="30"/>
      <c r="G154" s="30"/>
      <c r="H154" s="30"/>
      <c r="I154" s="30"/>
      <c r="J154" s="30"/>
      <c r="K154" s="30"/>
      <c r="L154" s="31"/>
      <c r="N154"/>
      <c r="O154"/>
      <c r="P154"/>
      <c r="Q154"/>
      <c r="R154"/>
      <c r="S154"/>
      <c r="T154"/>
      <c r="U154"/>
      <c r="V154"/>
      <c r="W154"/>
      <c r="X154"/>
      <c r="Y154"/>
      <c r="Z154"/>
      <c r="AA154"/>
      <c r="AB154"/>
      <c r="AC154"/>
      <c r="AD154"/>
      <c r="AE154"/>
      <c r="AF154"/>
      <c r="AG154"/>
    </row>
    <row r="155" spans="1:33" s="5" customFormat="1" x14ac:dyDescent="0.2">
      <c r="A155" s="30" t="s">
        <v>61</v>
      </c>
      <c r="B155" s="30"/>
      <c r="C155" s="30"/>
      <c r="D155" s="30"/>
      <c r="E155" s="30"/>
      <c r="F155" s="30"/>
      <c r="G155" s="30"/>
      <c r="H155" s="30"/>
      <c r="I155" s="30"/>
      <c r="J155" s="30"/>
      <c r="K155" s="30"/>
      <c r="L155" s="31"/>
      <c r="N155"/>
      <c r="O155"/>
      <c r="P155"/>
      <c r="Q155"/>
      <c r="R155"/>
      <c r="S155"/>
      <c r="T155"/>
      <c r="U155"/>
      <c r="V155"/>
      <c r="W155"/>
      <c r="X155"/>
      <c r="Y155"/>
      <c r="Z155"/>
      <c r="AA155"/>
      <c r="AB155"/>
      <c r="AC155"/>
      <c r="AD155"/>
      <c r="AE155"/>
      <c r="AF155"/>
      <c r="AG155"/>
    </row>
    <row r="156" spans="1:33" s="5" customFormat="1" x14ac:dyDescent="0.2">
      <c r="A156" s="32"/>
      <c r="B156" s="30"/>
      <c r="C156" s="30"/>
      <c r="D156" s="30"/>
      <c r="E156" s="30"/>
      <c r="F156" s="30"/>
      <c r="G156" s="30"/>
      <c r="H156" s="30"/>
      <c r="I156" s="30"/>
      <c r="J156" s="30"/>
      <c r="K156" s="30"/>
      <c r="L156" s="31" t="s">
        <v>12</v>
      </c>
      <c r="N156"/>
      <c r="O156"/>
      <c r="P156"/>
      <c r="Q156"/>
      <c r="R156"/>
      <c r="S156"/>
      <c r="T156"/>
      <c r="U156"/>
      <c r="V156"/>
      <c r="W156"/>
      <c r="X156"/>
      <c r="Y156"/>
      <c r="Z156"/>
      <c r="AA156"/>
      <c r="AB156"/>
      <c r="AC156"/>
      <c r="AD156"/>
      <c r="AE156"/>
      <c r="AF156"/>
      <c r="AG156"/>
    </row>
    <row r="157" spans="1:33" s="5" customFormat="1" x14ac:dyDescent="0.2">
      <c r="A157" s="30"/>
      <c r="B157" s="30"/>
      <c r="C157" s="30"/>
      <c r="D157" s="33" t="str">
        <f>"("&amp;TEXT(E17,"0.00")&amp;"*"&amp;TEXT(E16,"0.00")&amp;") / [2*"&amp;TEXT(E20,"0.000")&amp;"*("&amp;TEXT(E17,"0.00")&amp;"+"&amp;TEXT(E16, "0.00")&amp;")"&amp;"]"&amp; " ="</f>
        <v>(10.00*24.00) / [2*0.500*(10.00+24.00)] =</v>
      </c>
      <c r="E157" s="34"/>
      <c r="F157" s="34"/>
      <c r="G157" s="34"/>
      <c r="H157" s="34"/>
      <c r="I157" s="34">
        <f>E17*E16/(2*E20*(E17+E16))</f>
        <v>7.0588235294117645</v>
      </c>
      <c r="J157" s="167"/>
      <c r="K157" s="167"/>
      <c r="L157" s="167"/>
      <c r="N157"/>
      <c r="O157"/>
      <c r="P157"/>
      <c r="Q157"/>
      <c r="R157"/>
      <c r="S157"/>
      <c r="T157"/>
      <c r="U157"/>
      <c r="V157"/>
      <c r="W157"/>
      <c r="X157"/>
      <c r="Y157"/>
      <c r="Z157"/>
      <c r="AA157"/>
      <c r="AB157"/>
      <c r="AC157"/>
      <c r="AD157"/>
      <c r="AE157"/>
      <c r="AF157"/>
      <c r="AG157"/>
    </row>
    <row r="158" spans="1:33" s="5" customFormat="1" x14ac:dyDescent="0.2">
      <c r="A158" s="30"/>
      <c r="B158" s="30"/>
      <c r="C158" s="30"/>
      <c r="D158" s="34"/>
      <c r="E158" s="34"/>
      <c r="F158" s="34"/>
      <c r="G158" s="34"/>
      <c r="H158" s="34"/>
      <c r="I158" s="34"/>
      <c r="J158" s="167"/>
      <c r="K158" s="167"/>
      <c r="L158" s="167"/>
      <c r="N158"/>
      <c r="O158"/>
      <c r="P158"/>
      <c r="Q158"/>
      <c r="R158"/>
      <c r="S158"/>
      <c r="T158"/>
      <c r="U158"/>
      <c r="V158"/>
      <c r="W158"/>
      <c r="X158"/>
      <c r="Y158"/>
      <c r="Z158"/>
      <c r="AA158"/>
      <c r="AB158"/>
      <c r="AC158"/>
      <c r="AD158"/>
      <c r="AE158"/>
      <c r="AF158"/>
      <c r="AG158"/>
    </row>
    <row r="159" spans="1:33" s="5" customFormat="1" x14ac:dyDescent="0.2">
      <c r="A159" s="30"/>
      <c r="B159" s="30"/>
      <c r="C159" s="30"/>
      <c r="D159" s="36"/>
      <c r="E159" s="36"/>
      <c r="F159" s="36"/>
      <c r="G159" s="36"/>
      <c r="H159" s="36"/>
      <c r="I159" s="36"/>
      <c r="J159" s="30"/>
      <c r="K159" s="30"/>
      <c r="L159" s="30"/>
      <c r="N159"/>
      <c r="O159"/>
      <c r="P159"/>
      <c r="Q159"/>
      <c r="R159"/>
      <c r="S159"/>
      <c r="T159"/>
      <c r="U159"/>
      <c r="V159"/>
      <c r="W159"/>
      <c r="X159"/>
      <c r="Y159"/>
      <c r="Z159"/>
      <c r="AA159"/>
      <c r="AB159"/>
      <c r="AC159"/>
      <c r="AD159"/>
      <c r="AE159"/>
      <c r="AF159"/>
      <c r="AG159"/>
    </row>
    <row r="160" spans="1:33" s="5" customFormat="1" x14ac:dyDescent="0.2">
      <c r="A160" s="29" t="s">
        <v>139</v>
      </c>
      <c r="B160" s="30"/>
      <c r="C160" s="30"/>
      <c r="D160" s="36"/>
      <c r="E160" s="36"/>
      <c r="F160" s="36"/>
      <c r="G160" s="36"/>
      <c r="H160" s="36"/>
      <c r="I160" s="36"/>
      <c r="J160" s="30"/>
      <c r="K160" s="30"/>
      <c r="L160" s="31" t="s">
        <v>138</v>
      </c>
      <c r="N160"/>
      <c r="O160"/>
      <c r="P160"/>
      <c r="Q160"/>
      <c r="R160"/>
      <c r="S160"/>
      <c r="T160"/>
      <c r="U160"/>
      <c r="V160"/>
      <c r="W160"/>
      <c r="X160"/>
      <c r="Y160"/>
      <c r="Z160"/>
      <c r="AA160"/>
      <c r="AB160"/>
      <c r="AC160"/>
      <c r="AD160"/>
      <c r="AE160"/>
      <c r="AF160"/>
      <c r="AG160"/>
    </row>
    <row r="161" spans="1:33" s="5" customFormat="1" x14ac:dyDescent="0.2">
      <c r="A161" s="37" t="s">
        <v>141</v>
      </c>
      <c r="B161" s="30"/>
      <c r="C161" s="30"/>
      <c r="D161" s="36"/>
      <c r="E161" s="36"/>
      <c r="F161" s="36"/>
      <c r="G161" s="36"/>
      <c r="H161" s="36"/>
      <c r="I161" s="36"/>
      <c r="J161" s="30"/>
      <c r="K161" s="30"/>
      <c r="L161" s="31"/>
      <c r="N161"/>
      <c r="O161"/>
      <c r="P161"/>
      <c r="Q161"/>
      <c r="R161"/>
      <c r="S161"/>
      <c r="T161"/>
      <c r="U161"/>
      <c r="V161"/>
      <c r="W161"/>
      <c r="X161"/>
      <c r="Y161"/>
      <c r="Z161"/>
      <c r="AA161"/>
      <c r="AB161"/>
      <c r="AC161"/>
      <c r="AD161"/>
      <c r="AE161"/>
      <c r="AF161"/>
      <c r="AG161"/>
    </row>
    <row r="162" spans="1:33" s="5" customFormat="1" x14ac:dyDescent="0.2">
      <c r="A162" s="29"/>
      <c r="B162" s="30"/>
      <c r="C162" s="30"/>
      <c r="D162" s="36"/>
      <c r="E162" s="36"/>
      <c r="F162" s="36"/>
      <c r="G162" s="36"/>
      <c r="H162" s="36"/>
      <c r="I162" s="36"/>
      <c r="J162" s="30"/>
      <c r="K162" s="30"/>
      <c r="L162" s="30"/>
      <c r="N162"/>
      <c r="O162"/>
      <c r="P162"/>
      <c r="Q162"/>
      <c r="R162"/>
      <c r="S162"/>
      <c r="T162"/>
      <c r="U162"/>
      <c r="V162"/>
      <c r="W162"/>
      <c r="X162"/>
      <c r="Y162"/>
      <c r="Z162"/>
      <c r="AA162"/>
      <c r="AB162"/>
      <c r="AC162"/>
      <c r="AD162"/>
      <c r="AE162"/>
      <c r="AF162"/>
      <c r="AG162"/>
    </row>
    <row r="163" spans="1:33" s="5" customFormat="1" x14ac:dyDescent="0.2">
      <c r="A163" s="29"/>
      <c r="B163" s="30"/>
      <c r="C163" s="30"/>
      <c r="D163" s="38" t="str">
        <f>"("&amp;TEXT(E103,"0.00")&amp;"+"&amp;TEXT(E104,"0.00")&amp;") / (" &amp;TEXT(E17,"0.00")&amp;"*"&amp;TEXT(E16,"0.00")&amp;") ="</f>
        <v>(200.00+60.00) / (10.00*24.00) =</v>
      </c>
      <c r="E163" s="38"/>
      <c r="F163" s="38"/>
      <c r="G163" s="39">
        <f>(E103+E104)/(E16*E17)</f>
        <v>1.0833333333333333</v>
      </c>
      <c r="H163" s="40"/>
      <c r="I163" s="36"/>
      <c r="J163" s="30"/>
      <c r="K163" s="30"/>
      <c r="L163" s="30"/>
      <c r="N163"/>
      <c r="O163"/>
      <c r="P163"/>
      <c r="Q163"/>
      <c r="R163"/>
      <c r="S163"/>
      <c r="T163"/>
      <c r="U163"/>
      <c r="V163"/>
      <c r="W163"/>
      <c r="X163"/>
      <c r="Y163"/>
      <c r="Z163"/>
      <c r="AA163"/>
      <c r="AB163"/>
      <c r="AC163"/>
      <c r="AD163"/>
      <c r="AE163"/>
      <c r="AF163"/>
      <c r="AG163"/>
    </row>
    <row r="164" spans="1:33" s="5" customFormat="1" x14ac:dyDescent="0.2">
      <c r="A164" s="29"/>
      <c r="B164" s="30"/>
      <c r="C164" s="30"/>
      <c r="D164" s="38"/>
      <c r="E164" s="38"/>
      <c r="F164" s="38"/>
      <c r="G164" s="39"/>
      <c r="H164" s="40"/>
      <c r="I164" s="36"/>
      <c r="J164" s="30"/>
      <c r="K164" s="30"/>
      <c r="L164" s="30"/>
      <c r="N164"/>
      <c r="O164"/>
      <c r="P164"/>
      <c r="Q164"/>
      <c r="R164"/>
      <c r="S164"/>
      <c r="T164"/>
      <c r="U164"/>
      <c r="V164"/>
      <c r="W164"/>
      <c r="X164"/>
      <c r="Y164"/>
      <c r="Z164"/>
      <c r="AA164"/>
      <c r="AB164"/>
      <c r="AC164"/>
      <c r="AD164"/>
      <c r="AE164"/>
      <c r="AF164"/>
      <c r="AG164"/>
    </row>
    <row r="165" spans="1:33" s="5" customFormat="1" x14ac:dyDescent="0.2">
      <c r="A165" s="29"/>
      <c r="B165" s="30"/>
      <c r="C165" s="30"/>
      <c r="D165" s="36"/>
      <c r="E165" s="36"/>
      <c r="F165" s="36"/>
      <c r="G165" s="36"/>
      <c r="H165" s="36"/>
      <c r="I165" s="36"/>
      <c r="J165" s="30"/>
      <c r="K165" s="30"/>
      <c r="L165" s="30"/>
      <c r="N165"/>
      <c r="O165"/>
      <c r="P165"/>
      <c r="Q165"/>
      <c r="R165"/>
      <c r="S165"/>
      <c r="T165"/>
      <c r="U165"/>
      <c r="V165"/>
      <c r="W165"/>
      <c r="X165"/>
      <c r="Y165"/>
      <c r="Z165"/>
      <c r="AA165"/>
      <c r="AB165"/>
      <c r="AC165"/>
      <c r="AD165"/>
      <c r="AE165"/>
      <c r="AF165"/>
      <c r="AG165"/>
    </row>
    <row r="166" spans="1:33" s="5" customFormat="1" x14ac:dyDescent="0.2">
      <c r="A166" s="29"/>
      <c r="B166" s="30"/>
      <c r="C166" s="30" t="s">
        <v>79</v>
      </c>
      <c r="D166" s="36"/>
      <c r="E166" s="36"/>
      <c r="F166" s="36"/>
      <c r="G166" s="36"/>
      <c r="H166" s="36"/>
      <c r="I166" s="36"/>
      <c r="J166" s="30"/>
      <c r="K166" s="30"/>
      <c r="L166" s="30"/>
      <c r="N166"/>
      <c r="O166"/>
      <c r="P166"/>
      <c r="Q166"/>
      <c r="R166"/>
      <c r="S166"/>
      <c r="T166"/>
      <c r="U166"/>
      <c r="V166"/>
      <c r="W166"/>
      <c r="X166"/>
      <c r="Y166"/>
      <c r="Z166"/>
      <c r="AA166"/>
      <c r="AB166"/>
      <c r="AC166"/>
      <c r="AD166"/>
      <c r="AE166"/>
      <c r="AF166"/>
      <c r="AG166"/>
    </row>
    <row r="167" spans="1:33" s="5" customFormat="1" x14ac:dyDescent="0.2">
      <c r="A167" s="29"/>
      <c r="B167" s="30"/>
      <c r="C167" s="30"/>
      <c r="D167" s="36"/>
      <c r="E167" s="36"/>
      <c r="F167" s="36"/>
      <c r="G167" s="36"/>
      <c r="H167" s="36"/>
      <c r="I167" s="36"/>
      <c r="J167" s="30"/>
      <c r="K167" s="30"/>
      <c r="L167" s="30"/>
      <c r="N167"/>
      <c r="O167"/>
      <c r="P167"/>
      <c r="Q167"/>
      <c r="R167"/>
      <c r="S167"/>
      <c r="T167"/>
      <c r="U167"/>
      <c r="V167"/>
      <c r="W167"/>
      <c r="X167"/>
      <c r="Y167"/>
      <c r="Z167"/>
      <c r="AA167"/>
      <c r="AB167"/>
      <c r="AC167"/>
      <c r="AD167"/>
      <c r="AE167"/>
      <c r="AF167"/>
      <c r="AG167"/>
    </row>
    <row r="168" spans="1:33" s="5" customFormat="1" x14ac:dyDescent="0.2">
      <c r="A168" s="29"/>
      <c r="B168" s="30"/>
      <c r="C168" s="30"/>
      <c r="D168" s="38" t="str">
        <f>TEXT(E104,"0.00")&amp;" / (" &amp;TEXT(E17,"0.00")&amp;"*"&amp;TEXT(E16,"0.00")&amp;") ="</f>
        <v>60.00 / (10.00*24.00) =</v>
      </c>
      <c r="E168" s="38"/>
      <c r="F168" s="38"/>
      <c r="G168" s="39">
        <f>(E104)/(E16*E17)</f>
        <v>0.25</v>
      </c>
      <c r="H168" s="36"/>
      <c r="I168" s="36"/>
      <c r="J168" s="30"/>
      <c r="K168" s="30"/>
      <c r="L168" s="30"/>
      <c r="N168"/>
      <c r="O168"/>
      <c r="P168"/>
      <c r="Q168"/>
      <c r="R168"/>
      <c r="S168"/>
      <c r="T168"/>
      <c r="U168"/>
      <c r="V168"/>
      <c r="W168"/>
      <c r="X168"/>
      <c r="Y168"/>
      <c r="Z168"/>
      <c r="AA168"/>
      <c r="AB168"/>
      <c r="AC168"/>
      <c r="AD168"/>
      <c r="AE168"/>
      <c r="AF168"/>
      <c r="AG168"/>
    </row>
    <row r="169" spans="1:33" s="5" customFormat="1" x14ac:dyDescent="0.2">
      <c r="A169" s="29"/>
      <c r="B169" s="30"/>
      <c r="C169" s="30"/>
      <c r="D169" s="38"/>
      <c r="E169" s="38"/>
      <c r="F169" s="38"/>
      <c r="G169" s="39"/>
      <c r="H169" s="36"/>
      <c r="I169" s="36"/>
      <c r="J169" s="30"/>
      <c r="K169" s="30"/>
      <c r="L169" s="30"/>
      <c r="N169"/>
      <c r="O169"/>
      <c r="P169"/>
      <c r="Q169"/>
      <c r="R169"/>
      <c r="S169"/>
      <c r="T169"/>
      <c r="U169"/>
      <c r="V169"/>
      <c r="W169"/>
      <c r="X169"/>
      <c r="Y169"/>
      <c r="Z169"/>
      <c r="AA169"/>
      <c r="AB169"/>
      <c r="AC169"/>
      <c r="AD169"/>
      <c r="AE169"/>
      <c r="AF169"/>
      <c r="AG169"/>
    </row>
    <row r="170" spans="1:33" s="5" customFormat="1" x14ac:dyDescent="0.2">
      <c r="A170" s="29"/>
      <c r="B170" s="30"/>
      <c r="C170" s="30"/>
      <c r="D170" s="36"/>
      <c r="E170" s="36"/>
      <c r="F170" s="36"/>
      <c r="G170" s="36"/>
      <c r="H170" s="36"/>
      <c r="I170" s="36"/>
      <c r="J170" s="30"/>
      <c r="K170" s="30"/>
      <c r="L170" s="30"/>
      <c r="N170"/>
      <c r="O170"/>
      <c r="P170"/>
      <c r="Q170"/>
      <c r="R170"/>
      <c r="S170"/>
      <c r="T170"/>
      <c r="U170"/>
      <c r="V170"/>
      <c r="W170"/>
      <c r="X170"/>
      <c r="Y170"/>
      <c r="Z170"/>
      <c r="AA170"/>
      <c r="AB170"/>
      <c r="AC170"/>
      <c r="AD170"/>
      <c r="AE170"/>
      <c r="AF170"/>
      <c r="AG170"/>
    </row>
    <row r="171" spans="1:33" s="5" customFormat="1" x14ac:dyDescent="0.2">
      <c r="A171" s="29"/>
      <c r="B171" s="30"/>
      <c r="C171" s="30" t="s">
        <v>91</v>
      </c>
      <c r="D171" s="36"/>
      <c r="E171" s="36"/>
      <c r="F171" s="36"/>
      <c r="G171" s="36"/>
      <c r="H171" s="36"/>
      <c r="I171" s="36"/>
      <c r="J171" s="30"/>
      <c r="K171" s="30"/>
      <c r="L171" s="30"/>
      <c r="N171"/>
      <c r="O171"/>
      <c r="P171"/>
      <c r="Q171"/>
      <c r="R171"/>
      <c r="S171"/>
      <c r="T171"/>
      <c r="U171"/>
      <c r="V171"/>
      <c r="W171"/>
      <c r="X171"/>
      <c r="Y171"/>
      <c r="Z171"/>
      <c r="AA171"/>
      <c r="AB171"/>
      <c r="AC171"/>
      <c r="AD171"/>
      <c r="AE171"/>
      <c r="AF171"/>
      <c r="AG171"/>
    </row>
    <row r="172" spans="1:33" s="5" customFormat="1" x14ac:dyDescent="0.2">
      <c r="A172" s="29"/>
      <c r="B172" s="30"/>
      <c r="C172" s="30"/>
      <c r="D172" s="36"/>
      <c r="E172" s="36"/>
      <c r="F172" s="36"/>
      <c r="G172" s="36"/>
      <c r="H172" s="36"/>
      <c r="I172" s="36"/>
      <c r="J172" s="30"/>
      <c r="K172" s="30"/>
      <c r="L172" s="30"/>
      <c r="N172"/>
      <c r="O172"/>
      <c r="P172"/>
      <c r="Q172"/>
      <c r="R172"/>
      <c r="S172"/>
      <c r="T172"/>
      <c r="U172"/>
      <c r="V172"/>
      <c r="W172"/>
      <c r="X172"/>
      <c r="Y172"/>
      <c r="Z172"/>
      <c r="AA172"/>
      <c r="AB172"/>
      <c r="AC172"/>
      <c r="AD172"/>
      <c r="AE172"/>
      <c r="AF172"/>
      <c r="AG172"/>
    </row>
    <row r="173" spans="1:33" s="5" customFormat="1" x14ac:dyDescent="0.2">
      <c r="A173" s="29"/>
      <c r="B173" s="30"/>
      <c r="C173" s="30"/>
      <c r="D173" s="38" t="str">
        <f>TEXT(E103,"0.00")&amp;" / (" &amp;TEXT(E17,"0.00")&amp;"*"&amp;TEXT(E16,"0.00")&amp;") ="</f>
        <v>200.00 / (10.00*24.00) =</v>
      </c>
      <c r="E173" s="38"/>
      <c r="F173" s="38"/>
      <c r="G173" s="39">
        <f>(E103)/(E16*E17)</f>
        <v>0.83333333333333337</v>
      </c>
      <c r="H173" s="36"/>
      <c r="I173" s="36"/>
      <c r="J173" s="30"/>
      <c r="K173" s="30"/>
      <c r="L173" s="30"/>
      <c r="N173"/>
      <c r="O173"/>
      <c r="P173"/>
      <c r="Q173"/>
      <c r="R173"/>
      <c r="S173"/>
      <c r="T173"/>
      <c r="U173"/>
      <c r="V173"/>
      <c r="W173"/>
      <c r="X173"/>
      <c r="Y173"/>
      <c r="Z173"/>
      <c r="AA173"/>
      <c r="AB173"/>
      <c r="AC173"/>
      <c r="AD173"/>
      <c r="AE173"/>
      <c r="AF173"/>
      <c r="AG173"/>
    </row>
    <row r="174" spans="1:33" s="5" customFormat="1" x14ac:dyDescent="0.2">
      <c r="A174" s="29"/>
      <c r="B174" s="30"/>
      <c r="C174" s="30"/>
      <c r="D174" s="38"/>
      <c r="E174" s="38"/>
      <c r="F174" s="38"/>
      <c r="G174" s="39"/>
      <c r="H174" s="36"/>
      <c r="I174" s="36"/>
      <c r="J174" s="30"/>
      <c r="K174" s="30"/>
      <c r="L174" s="30"/>
      <c r="N174"/>
      <c r="O174"/>
      <c r="P174"/>
      <c r="Q174"/>
      <c r="R174"/>
      <c r="S174"/>
      <c r="T174"/>
      <c r="U174"/>
      <c r="V174"/>
      <c r="W174"/>
      <c r="X174"/>
      <c r="Y174"/>
      <c r="Z174"/>
      <c r="AA174"/>
      <c r="AB174"/>
      <c r="AC174"/>
      <c r="AD174"/>
      <c r="AE174"/>
      <c r="AF174"/>
      <c r="AG174"/>
    </row>
    <row r="175" spans="1:33" s="5" customFormat="1" x14ac:dyDescent="0.2">
      <c r="A175" s="29"/>
      <c r="B175" s="30"/>
      <c r="C175" s="30"/>
      <c r="D175" s="36"/>
      <c r="E175" s="36"/>
      <c r="F175" s="36"/>
      <c r="G175" s="36"/>
      <c r="H175" s="36"/>
      <c r="I175" s="36"/>
      <c r="J175" s="30"/>
      <c r="K175" s="30"/>
      <c r="L175" s="30"/>
      <c r="N175"/>
      <c r="O175"/>
      <c r="P175"/>
      <c r="Q175"/>
      <c r="R175"/>
      <c r="S175"/>
      <c r="T175"/>
      <c r="U175"/>
      <c r="V175"/>
      <c r="W175"/>
      <c r="X175"/>
      <c r="Y175"/>
      <c r="Z175"/>
      <c r="AA175"/>
      <c r="AB175"/>
      <c r="AC175"/>
      <c r="AD175"/>
      <c r="AE175"/>
      <c r="AF175"/>
      <c r="AG175"/>
    </row>
    <row r="176" spans="1:33" s="5" customFormat="1" x14ac:dyDescent="0.2">
      <c r="A176" s="30"/>
      <c r="B176" s="30"/>
      <c r="C176" s="30" t="s">
        <v>103</v>
      </c>
      <c r="D176" s="36"/>
      <c r="E176" s="36"/>
      <c r="F176" s="36"/>
      <c r="G176" s="36"/>
      <c r="H176" s="36"/>
      <c r="I176" s="36"/>
      <c r="J176" s="30"/>
      <c r="K176" s="30"/>
      <c r="L176" s="30"/>
      <c r="N176"/>
      <c r="O176"/>
      <c r="P176"/>
      <c r="Q176"/>
      <c r="R176"/>
      <c r="S176"/>
      <c r="T176"/>
      <c r="U176"/>
      <c r="V176"/>
      <c r="W176"/>
      <c r="X176"/>
      <c r="Y176"/>
      <c r="Z176"/>
      <c r="AA176"/>
      <c r="AB176"/>
      <c r="AC176"/>
      <c r="AD176"/>
      <c r="AE176"/>
      <c r="AF176"/>
      <c r="AG176"/>
    </row>
    <row r="177" spans="1:33" s="5" customFormat="1" x14ac:dyDescent="0.2">
      <c r="A177" s="30"/>
      <c r="B177" s="30"/>
      <c r="C177" s="30"/>
      <c r="D177" s="36"/>
      <c r="E177" s="36"/>
      <c r="F177" s="36"/>
      <c r="G177" s="36"/>
      <c r="H177" s="36"/>
      <c r="I177" s="36"/>
      <c r="J177" s="30"/>
      <c r="K177" s="30"/>
      <c r="L177" s="30"/>
      <c r="N177"/>
      <c r="O177"/>
      <c r="P177"/>
      <c r="Q177"/>
      <c r="R177"/>
      <c r="S177"/>
      <c r="T177"/>
      <c r="U177"/>
      <c r="V177"/>
      <c r="W177"/>
      <c r="X177"/>
      <c r="Y177"/>
      <c r="Z177"/>
      <c r="AA177"/>
      <c r="AB177"/>
      <c r="AC177"/>
      <c r="AD177"/>
      <c r="AE177"/>
      <c r="AF177"/>
      <c r="AG177"/>
    </row>
    <row r="178" spans="1:33" s="5" customFormat="1" x14ac:dyDescent="0.2">
      <c r="A178" s="30"/>
      <c r="B178" s="41" t="s">
        <v>16</v>
      </c>
      <c r="C178" s="30"/>
      <c r="D178" s="36"/>
      <c r="E178" s="36"/>
      <c r="F178" s="36"/>
      <c r="G178" s="36"/>
      <c r="H178" s="36"/>
      <c r="I178" s="36"/>
      <c r="J178" s="30"/>
      <c r="K178" s="30"/>
      <c r="L178" s="31" t="s">
        <v>143</v>
      </c>
      <c r="N178"/>
      <c r="O178"/>
      <c r="P178"/>
      <c r="Q178"/>
      <c r="R178"/>
      <c r="S178"/>
      <c r="T178"/>
      <c r="U178"/>
      <c r="V178"/>
      <c r="W178"/>
      <c r="X178"/>
      <c r="Y178"/>
      <c r="Z178"/>
      <c r="AA178"/>
      <c r="AB178"/>
      <c r="AC178"/>
      <c r="AD178"/>
      <c r="AE178"/>
      <c r="AF178"/>
      <c r="AG178"/>
    </row>
    <row r="179" spans="1:33" s="5" customFormat="1" x14ac:dyDescent="0.2">
      <c r="A179" s="30"/>
      <c r="B179" s="41"/>
      <c r="C179" s="30"/>
      <c r="D179" s="40">
        <f>G163</f>
        <v>1.0833333333333333</v>
      </c>
      <c r="E179" s="36" t="str">
        <f>IF(D179&gt;G179,"&gt;",IF(D179&lt;G179,"&lt;","="))</f>
        <v>&lt;</v>
      </c>
      <c r="F179" s="36"/>
      <c r="G179" s="42">
        <v>2.5</v>
      </c>
      <c r="H179" s="43" t="str">
        <f>IF(D179&lt;=G179,"OK","FAILS")</f>
        <v>OK</v>
      </c>
      <c r="I179" s="36"/>
      <c r="J179" s="30"/>
      <c r="K179" s="30"/>
      <c r="L179" s="31"/>
      <c r="N179"/>
      <c r="O179"/>
      <c r="P179"/>
      <c r="Q179"/>
      <c r="R179"/>
      <c r="S179"/>
      <c r="T179"/>
      <c r="U179"/>
      <c r="V179"/>
      <c r="W179"/>
      <c r="X179"/>
      <c r="Y179"/>
      <c r="Z179"/>
      <c r="AA179"/>
      <c r="AB179"/>
      <c r="AC179"/>
      <c r="AD179"/>
      <c r="AE179"/>
      <c r="AF179"/>
      <c r="AG179"/>
    </row>
    <row r="180" spans="1:33" s="5" customFormat="1" x14ac:dyDescent="0.2">
      <c r="A180" s="30"/>
      <c r="B180" s="41"/>
      <c r="C180" s="30"/>
      <c r="D180" s="36"/>
      <c r="E180" s="36"/>
      <c r="F180" s="36"/>
      <c r="G180" s="36"/>
      <c r="H180" s="43"/>
      <c r="I180" s="36"/>
      <c r="J180" s="30"/>
      <c r="K180" s="30"/>
      <c r="L180" s="31"/>
      <c r="N180"/>
      <c r="O180"/>
      <c r="P180"/>
      <c r="Q180"/>
      <c r="R180"/>
      <c r="S180"/>
      <c r="T180"/>
      <c r="U180"/>
      <c r="V180"/>
      <c r="W180"/>
      <c r="X180"/>
      <c r="Y180"/>
      <c r="Z180"/>
      <c r="AA180"/>
      <c r="AB180"/>
      <c r="AC180"/>
      <c r="AD180"/>
      <c r="AE180"/>
      <c r="AF180"/>
      <c r="AG180"/>
    </row>
    <row r="181" spans="1:33" s="5" customFormat="1" x14ac:dyDescent="0.2">
      <c r="A181" s="30"/>
      <c r="B181" s="41"/>
      <c r="C181" s="30"/>
      <c r="D181" s="40">
        <f>G173</f>
        <v>0.83333333333333337</v>
      </c>
      <c r="E181" s="36" t="str">
        <f>IF(D181&gt;G181,"&gt;",IF(D181&lt;G181,"&lt;","="))</f>
        <v>&lt;</v>
      </c>
      <c r="F181" s="36"/>
      <c r="G181" s="42">
        <v>1.5</v>
      </c>
      <c r="H181" s="43" t="str">
        <f>IF(D181&lt;=G181,"OK","FAILS")</f>
        <v>OK</v>
      </c>
      <c r="I181" s="36"/>
      <c r="J181" s="30"/>
      <c r="K181" s="30"/>
      <c r="L181" s="31"/>
      <c r="N181"/>
      <c r="O181"/>
      <c r="P181"/>
      <c r="Q181"/>
      <c r="R181"/>
      <c r="S181"/>
      <c r="T181"/>
      <c r="U181"/>
      <c r="V181"/>
      <c r="W181"/>
      <c r="X181"/>
      <c r="Y181"/>
      <c r="Z181"/>
      <c r="AA181"/>
      <c r="AB181"/>
      <c r="AC181"/>
      <c r="AD181"/>
      <c r="AE181"/>
      <c r="AF181"/>
      <c r="AG181"/>
    </row>
    <row r="182" spans="1:33" s="5" customFormat="1" x14ac:dyDescent="0.2">
      <c r="A182" s="30"/>
      <c r="B182" s="41"/>
      <c r="C182" s="30"/>
      <c r="D182" s="36"/>
      <c r="E182" s="36"/>
      <c r="F182" s="36"/>
      <c r="G182" s="36"/>
      <c r="H182" s="36"/>
      <c r="I182" s="36"/>
      <c r="J182" s="30"/>
      <c r="K182" s="30"/>
      <c r="L182" s="31"/>
      <c r="N182"/>
      <c r="O182"/>
      <c r="P182"/>
      <c r="Q182"/>
      <c r="R182"/>
      <c r="S182"/>
      <c r="T182"/>
      <c r="U182"/>
      <c r="V182"/>
      <c r="W182"/>
      <c r="X182"/>
      <c r="Y182"/>
      <c r="Z182"/>
      <c r="AA182"/>
      <c r="AB182"/>
      <c r="AC182"/>
      <c r="AD182"/>
      <c r="AE182"/>
      <c r="AF182"/>
      <c r="AG182"/>
    </row>
    <row r="183" spans="1:33" s="5" customFormat="1" x14ac:dyDescent="0.2">
      <c r="A183" s="37" t="s">
        <v>140</v>
      </c>
      <c r="B183" s="30"/>
      <c r="C183" s="30"/>
      <c r="D183" s="36"/>
      <c r="E183" s="36"/>
      <c r="F183" s="36"/>
      <c r="G183" s="36"/>
      <c r="H183" s="36"/>
      <c r="I183" s="36"/>
      <c r="J183" s="30"/>
      <c r="K183" s="30"/>
      <c r="L183" s="31" t="s">
        <v>138</v>
      </c>
      <c r="N183"/>
      <c r="O183"/>
      <c r="P183"/>
      <c r="Q183"/>
      <c r="R183"/>
      <c r="S183"/>
      <c r="T183"/>
      <c r="U183"/>
      <c r="V183"/>
      <c r="W183"/>
      <c r="X183"/>
      <c r="Y183"/>
      <c r="Z183"/>
      <c r="AA183"/>
      <c r="AB183"/>
      <c r="AC183"/>
      <c r="AD183"/>
      <c r="AE183"/>
      <c r="AF183"/>
      <c r="AG183"/>
    </row>
    <row r="184" spans="1:33" s="5" customFormat="1" x14ac:dyDescent="0.2">
      <c r="A184" s="44" t="s">
        <v>168</v>
      </c>
      <c r="B184" s="44"/>
      <c r="C184" s="44"/>
      <c r="D184" s="44"/>
      <c r="E184" s="44"/>
      <c r="F184" s="44"/>
      <c r="G184" s="44"/>
      <c r="H184" s="44"/>
      <c r="I184" s="44"/>
      <c r="J184" s="44"/>
      <c r="K184" s="44"/>
      <c r="L184" s="44"/>
      <c r="N184"/>
      <c r="O184"/>
      <c r="P184"/>
      <c r="Q184"/>
      <c r="R184"/>
      <c r="S184"/>
      <c r="T184"/>
      <c r="U184"/>
      <c r="V184"/>
      <c r="W184"/>
      <c r="X184"/>
      <c r="Y184"/>
      <c r="Z184"/>
      <c r="AA184"/>
      <c r="AB184"/>
      <c r="AC184"/>
      <c r="AD184"/>
      <c r="AE184"/>
      <c r="AF184"/>
      <c r="AG184"/>
    </row>
    <row r="185" spans="1:33" s="5" customFormat="1" x14ac:dyDescent="0.2">
      <c r="A185" s="44"/>
      <c r="B185" s="44"/>
      <c r="C185" s="44"/>
      <c r="D185" s="44"/>
      <c r="E185" s="44"/>
      <c r="F185" s="44"/>
      <c r="G185" s="44"/>
      <c r="H185" s="44"/>
      <c r="I185" s="44"/>
      <c r="J185" s="44"/>
      <c r="K185" s="44"/>
      <c r="L185" s="44"/>
      <c r="N185"/>
      <c r="O185"/>
      <c r="P185"/>
      <c r="Q185"/>
      <c r="R185"/>
      <c r="S185"/>
      <c r="T185"/>
      <c r="U185"/>
      <c r="V185"/>
      <c r="W185"/>
      <c r="X185"/>
      <c r="Y185"/>
      <c r="Z185"/>
      <c r="AA185"/>
      <c r="AB185"/>
      <c r="AC185"/>
      <c r="AD185"/>
      <c r="AE185"/>
      <c r="AF185"/>
      <c r="AG185"/>
    </row>
    <row r="186" spans="1:33" s="5" customFormat="1" x14ac:dyDescent="0.2">
      <c r="A186" s="44"/>
      <c r="B186" s="44"/>
      <c r="C186" s="44"/>
      <c r="D186" s="44"/>
      <c r="E186" s="44"/>
      <c r="F186" s="44"/>
      <c r="G186" s="44"/>
      <c r="H186" s="44"/>
      <c r="I186" s="44"/>
      <c r="J186" s="44"/>
      <c r="K186" s="44"/>
      <c r="L186" s="44"/>
      <c r="N186"/>
      <c r="O186"/>
      <c r="P186"/>
      <c r="Q186"/>
      <c r="R186"/>
      <c r="S186"/>
      <c r="T186"/>
      <c r="U186"/>
      <c r="V186"/>
      <c r="W186"/>
      <c r="X186"/>
      <c r="Y186"/>
      <c r="Z186"/>
      <c r="AA186"/>
      <c r="AB186"/>
      <c r="AC186"/>
      <c r="AD186"/>
      <c r="AE186"/>
      <c r="AF186"/>
      <c r="AG186"/>
    </row>
    <row r="187" spans="1:33" s="5" customFormat="1" x14ac:dyDescent="0.2">
      <c r="A187" s="37"/>
      <c r="B187" s="30"/>
      <c r="C187" s="30"/>
      <c r="D187" s="36"/>
      <c r="E187" s="36"/>
      <c r="F187" s="36"/>
      <c r="G187" s="36"/>
      <c r="H187" s="36"/>
      <c r="I187" s="36"/>
      <c r="J187" s="45" t="s">
        <v>171</v>
      </c>
      <c r="K187" s="26"/>
      <c r="L187" s="26"/>
      <c r="N187"/>
      <c r="O187"/>
      <c r="P187"/>
      <c r="Q187"/>
      <c r="R187"/>
      <c r="S187"/>
      <c r="T187"/>
      <c r="U187"/>
      <c r="V187"/>
      <c r="W187"/>
      <c r="X187"/>
      <c r="Y187"/>
      <c r="Z187"/>
      <c r="AA187"/>
      <c r="AB187"/>
      <c r="AC187"/>
      <c r="AD187"/>
      <c r="AE187"/>
      <c r="AF187"/>
      <c r="AG187"/>
    </row>
    <row r="188" spans="1:33" s="5" customFormat="1" ht="12.75" customHeight="1" x14ac:dyDescent="0.2">
      <c r="A188" s="37"/>
      <c r="B188" s="30"/>
      <c r="C188" s="30"/>
      <c r="D188" s="36"/>
      <c r="E188" s="38" t="s">
        <v>169</v>
      </c>
      <c r="F188" s="38"/>
      <c r="G188" s="38"/>
      <c r="H188" s="38"/>
      <c r="I188" s="36"/>
      <c r="J188" s="26"/>
      <c r="K188" s="26"/>
      <c r="L188" s="26"/>
      <c r="N188"/>
      <c r="O188"/>
      <c r="P188"/>
      <c r="Q188"/>
      <c r="R188"/>
      <c r="S188"/>
      <c r="T188"/>
      <c r="U188"/>
      <c r="V188"/>
      <c r="W188"/>
      <c r="X188"/>
      <c r="Y188"/>
      <c r="Z188"/>
      <c r="AA188"/>
      <c r="AB188"/>
      <c r="AC188"/>
      <c r="AD188"/>
      <c r="AE188"/>
      <c r="AF188"/>
      <c r="AG188"/>
    </row>
    <row r="189" spans="1:33" s="5" customFormat="1" x14ac:dyDescent="0.2">
      <c r="A189" s="37"/>
      <c r="B189" s="30"/>
      <c r="C189" s="30"/>
      <c r="D189" s="36"/>
      <c r="E189" s="36"/>
      <c r="F189" s="36"/>
      <c r="G189" s="36"/>
      <c r="H189" s="36"/>
      <c r="I189" s="36"/>
      <c r="J189" s="26"/>
      <c r="K189" s="26"/>
      <c r="L189" s="26"/>
      <c r="N189"/>
      <c r="O189"/>
      <c r="P189"/>
      <c r="Q189"/>
      <c r="R189"/>
      <c r="S189"/>
      <c r="T189"/>
      <c r="U189"/>
      <c r="V189"/>
      <c r="W189"/>
      <c r="X189"/>
      <c r="Y189"/>
      <c r="Z189"/>
      <c r="AA189"/>
      <c r="AB189"/>
      <c r="AC189"/>
      <c r="AD189"/>
      <c r="AE189"/>
      <c r="AF189"/>
      <c r="AG189"/>
    </row>
    <row r="190" spans="1:33" s="5" customFormat="1" x14ac:dyDescent="0.2">
      <c r="A190" s="37"/>
      <c r="B190" s="30" t="s">
        <v>56</v>
      </c>
      <c r="C190" s="30"/>
      <c r="D190" s="36"/>
      <c r="E190" s="36"/>
      <c r="F190" s="36"/>
      <c r="G190" s="36"/>
      <c r="H190" s="36"/>
      <c r="I190" s="36"/>
      <c r="J190" s="24"/>
      <c r="K190" s="24"/>
      <c r="L190" s="24"/>
      <c r="N190"/>
      <c r="O190"/>
      <c r="P190"/>
      <c r="Q190"/>
      <c r="R190"/>
      <c r="S190"/>
      <c r="T190"/>
      <c r="U190"/>
      <c r="V190"/>
      <c r="W190"/>
      <c r="X190"/>
      <c r="Y190"/>
      <c r="Z190"/>
      <c r="AA190"/>
      <c r="AB190"/>
      <c r="AC190"/>
      <c r="AD190"/>
      <c r="AE190"/>
      <c r="AF190"/>
      <c r="AG190"/>
    </row>
    <row r="191" spans="1:33" s="5" customFormat="1" x14ac:dyDescent="0.2">
      <c r="A191" s="37"/>
      <c r="B191" s="30"/>
      <c r="C191" s="30"/>
      <c r="D191" s="36"/>
      <c r="E191" s="36" t="str">
        <f>"4.8*"&amp;TEXT(E39,"0.00")&amp;"*"&amp;TEXT(I157,"0.00")&amp;"^2 = "</f>
        <v xml:space="preserve">4.8*0.17*7.06^2 = </v>
      </c>
      <c r="F191" s="36"/>
      <c r="G191" s="46">
        <f>4.8*E39*I157^2</f>
        <v>41.256747404844283</v>
      </c>
      <c r="H191" s="36"/>
      <c r="I191" s="36"/>
      <c r="J191" s="30"/>
      <c r="K191" s="30"/>
      <c r="L191" s="31" t="s">
        <v>142</v>
      </c>
      <c r="N191"/>
      <c r="O191"/>
      <c r="P191"/>
      <c r="Q191"/>
      <c r="R191"/>
      <c r="S191"/>
      <c r="T191"/>
      <c r="U191"/>
      <c r="V191"/>
      <c r="W191"/>
      <c r="X191"/>
      <c r="Y191"/>
      <c r="Z191"/>
      <c r="AA191"/>
      <c r="AB191"/>
      <c r="AC191"/>
      <c r="AD191"/>
      <c r="AE191"/>
      <c r="AF191"/>
      <c r="AG191"/>
    </row>
    <row r="192" spans="1:33" s="5" customFormat="1" x14ac:dyDescent="0.2">
      <c r="A192" s="37"/>
      <c r="B192" s="30"/>
      <c r="C192" s="30"/>
      <c r="D192" s="36"/>
      <c r="E192" s="36"/>
      <c r="F192" s="36"/>
      <c r="G192" s="36"/>
      <c r="H192" s="36"/>
      <c r="I192" s="36"/>
      <c r="J192" s="30"/>
      <c r="K192" s="30"/>
      <c r="L192" s="31"/>
      <c r="N192"/>
      <c r="O192"/>
      <c r="P192"/>
      <c r="Q192"/>
      <c r="R192"/>
      <c r="S192"/>
      <c r="T192"/>
      <c r="U192"/>
      <c r="V192"/>
      <c r="W192"/>
      <c r="X192"/>
      <c r="Y192"/>
      <c r="Z192"/>
      <c r="AA192"/>
      <c r="AB192"/>
      <c r="AC192"/>
      <c r="AD192"/>
      <c r="AE192"/>
      <c r="AF192"/>
      <c r="AG192"/>
    </row>
    <row r="193" spans="1:33" s="5" customFormat="1" x14ac:dyDescent="0.2">
      <c r="A193" s="37"/>
      <c r="B193" s="30"/>
      <c r="C193" s="30"/>
      <c r="D193" s="47" t="str">
        <f>TEXT(E16,"0.00")&amp;"*"&amp;TEXT(E17,"0.00")&amp;"^3 /12 = "</f>
        <v xml:space="preserve">24.00*10.00^3 /12 = </v>
      </c>
      <c r="E193" s="36"/>
      <c r="F193" s="48">
        <f>E16*E17^3/12</f>
        <v>2000</v>
      </c>
      <c r="G193" s="38"/>
      <c r="H193" s="36"/>
      <c r="I193" s="36"/>
      <c r="J193" s="30"/>
      <c r="K193" s="30"/>
      <c r="L193" s="31"/>
      <c r="N193"/>
      <c r="O193"/>
      <c r="P193"/>
      <c r="Q193"/>
      <c r="R193"/>
      <c r="S193"/>
      <c r="T193"/>
      <c r="U193"/>
      <c r="V193"/>
      <c r="W193"/>
      <c r="X193"/>
      <c r="Y193"/>
      <c r="Z193"/>
      <c r="AA193"/>
      <c r="AB193"/>
      <c r="AC193"/>
      <c r="AD193"/>
      <c r="AE193"/>
      <c r="AF193"/>
      <c r="AG193"/>
    </row>
    <row r="194" spans="1:33" s="5" customFormat="1" x14ac:dyDescent="0.2">
      <c r="A194" s="37"/>
      <c r="B194" s="30"/>
      <c r="C194" s="30"/>
      <c r="D194" s="36"/>
      <c r="E194" s="36"/>
      <c r="F194" s="36"/>
      <c r="G194" s="36"/>
      <c r="H194" s="36"/>
      <c r="I194" s="36"/>
      <c r="J194" s="30"/>
      <c r="K194" s="30"/>
      <c r="L194" s="31"/>
      <c r="N194"/>
      <c r="O194"/>
      <c r="P194"/>
      <c r="Q194"/>
      <c r="R194"/>
      <c r="S194"/>
      <c r="T194"/>
      <c r="U194"/>
      <c r="V194"/>
      <c r="W194"/>
      <c r="X194"/>
      <c r="Y194"/>
      <c r="Z194"/>
      <c r="AA194"/>
      <c r="AB194"/>
      <c r="AC194"/>
      <c r="AD194"/>
      <c r="AE194"/>
      <c r="AF194"/>
      <c r="AG194"/>
    </row>
    <row r="195" spans="1:33" s="5" customFormat="1" x14ac:dyDescent="0.2">
      <c r="A195" s="37"/>
      <c r="B195" s="30"/>
      <c r="C195" s="30"/>
      <c r="D195" s="36"/>
      <c r="E195" s="36"/>
      <c r="F195" s="47" t="str">
        <f>TEXT(E111,"0.000")&amp;"+"&amp;TEXT(E117,"0.000")&amp;"+"&amp;TEXT(E112,"0.000")&amp;"="</f>
        <v>-0.001+0.005+0.006=</v>
      </c>
      <c r="G195" s="36"/>
      <c r="H195" s="36"/>
      <c r="I195" s="49">
        <f>E111+E117+E112</f>
        <v>0.01</v>
      </c>
      <c r="J195" s="30"/>
      <c r="K195" s="30"/>
      <c r="L195" s="31"/>
      <c r="N195"/>
      <c r="O195"/>
      <c r="P195"/>
      <c r="Q195"/>
      <c r="R195"/>
      <c r="S195"/>
      <c r="T195"/>
      <c r="U195"/>
      <c r="V195"/>
      <c r="W195"/>
      <c r="X195"/>
      <c r="Y195"/>
      <c r="Z195"/>
      <c r="AA195"/>
      <c r="AB195"/>
      <c r="AC195"/>
      <c r="AD195"/>
      <c r="AE195"/>
      <c r="AF195"/>
      <c r="AG195"/>
    </row>
    <row r="196" spans="1:33" s="5" customFormat="1" x14ac:dyDescent="0.2">
      <c r="A196" s="37"/>
      <c r="B196" s="30"/>
      <c r="C196" s="30"/>
      <c r="D196" s="36"/>
      <c r="E196" s="36"/>
      <c r="F196" s="36"/>
      <c r="G196" s="36"/>
      <c r="H196" s="36"/>
      <c r="I196" s="47"/>
      <c r="J196" s="30"/>
      <c r="K196" s="30"/>
      <c r="L196" s="31"/>
      <c r="N196"/>
      <c r="O196"/>
      <c r="P196"/>
      <c r="Q196"/>
      <c r="R196"/>
      <c r="S196"/>
      <c r="T196"/>
      <c r="U196"/>
      <c r="V196"/>
      <c r="W196"/>
      <c r="X196"/>
      <c r="Y196"/>
      <c r="Z196"/>
      <c r="AA196"/>
      <c r="AB196"/>
      <c r="AC196"/>
      <c r="AD196"/>
      <c r="AE196"/>
      <c r="AF196"/>
      <c r="AG196"/>
    </row>
    <row r="197" spans="1:33" s="5" customFormat="1" x14ac:dyDescent="0.2">
      <c r="A197" s="37"/>
      <c r="B197" s="30"/>
      <c r="C197" s="30"/>
      <c r="D197" s="36"/>
      <c r="E197" s="36"/>
      <c r="F197" s="36"/>
      <c r="G197" s="36"/>
      <c r="H197" s="36"/>
      <c r="I197" s="47"/>
      <c r="J197" s="30"/>
      <c r="K197" s="30"/>
      <c r="L197" s="31"/>
      <c r="N197"/>
      <c r="O197"/>
      <c r="P197"/>
      <c r="Q197"/>
      <c r="R197"/>
      <c r="S197"/>
      <c r="T197"/>
      <c r="U197"/>
      <c r="V197"/>
      <c r="W197"/>
      <c r="X197"/>
      <c r="Y197"/>
      <c r="Z197"/>
      <c r="AA197"/>
      <c r="AB197"/>
      <c r="AC197"/>
      <c r="AD197"/>
      <c r="AE197"/>
      <c r="AF197"/>
      <c r="AG197"/>
    </row>
    <row r="198" spans="1:33" s="5" customFormat="1" x14ac:dyDescent="0.2">
      <c r="A198" s="37"/>
      <c r="B198" s="30"/>
      <c r="C198" s="30"/>
      <c r="D198" s="36"/>
      <c r="E198" s="47" t="str">
        <f>"(0.5*"&amp;TEXT(G191,"0.00")&amp;"*"&amp;TEXT(F193,"0.00")&amp;")*("&amp;TEXT(I195,"0.000")&amp;"/"&amp;TEXT(E24,"0.00")&amp;") ="</f>
        <v>(0.5*41.26*2000.00)*(0.010/2.63) =</v>
      </c>
      <c r="F198" s="36"/>
      <c r="G198" s="36"/>
      <c r="H198" s="36"/>
      <c r="I198" s="50">
        <f>(0.5*G191*F193)*(I195/E24)</f>
        <v>157.16856154226394</v>
      </c>
      <c r="J198" s="30"/>
      <c r="K198" s="30"/>
      <c r="L198" s="31"/>
      <c r="N198"/>
      <c r="O198"/>
      <c r="P198"/>
      <c r="Q198"/>
      <c r="R198"/>
      <c r="S198"/>
      <c r="T198"/>
      <c r="U198"/>
      <c r="V198"/>
      <c r="W198"/>
      <c r="X198"/>
      <c r="Y198"/>
      <c r="Z198"/>
      <c r="AA198"/>
      <c r="AB198"/>
      <c r="AC198"/>
      <c r="AD198"/>
      <c r="AE198"/>
      <c r="AF198"/>
      <c r="AG198"/>
    </row>
    <row r="199" spans="1:33" s="5" customFormat="1" x14ac:dyDescent="0.2">
      <c r="A199" s="30"/>
      <c r="B199" s="30"/>
      <c r="C199" s="30"/>
      <c r="D199" s="51"/>
      <c r="E199" s="30"/>
      <c r="F199" s="30"/>
      <c r="G199" s="30"/>
      <c r="H199" s="30"/>
      <c r="I199" s="47"/>
      <c r="J199" s="30"/>
      <c r="K199" s="30"/>
      <c r="L199" s="31"/>
      <c r="N199"/>
      <c r="O199"/>
      <c r="P199"/>
      <c r="Q199"/>
      <c r="R199"/>
      <c r="S199"/>
      <c r="T199"/>
      <c r="U199"/>
      <c r="V199"/>
      <c r="W199"/>
      <c r="X199"/>
      <c r="Y199"/>
      <c r="Z199"/>
      <c r="AA199"/>
      <c r="AB199"/>
      <c r="AC199"/>
      <c r="AD199"/>
      <c r="AE199"/>
      <c r="AF199"/>
      <c r="AG199"/>
    </row>
    <row r="200" spans="1:33" s="5" customFormat="1" x14ac:dyDescent="0.2">
      <c r="A200" s="30"/>
      <c r="B200" s="30"/>
      <c r="C200" s="30"/>
      <c r="D200" s="51"/>
      <c r="E200" s="30"/>
      <c r="F200" s="30"/>
      <c r="G200" s="30"/>
      <c r="H200" s="30"/>
      <c r="I200" s="47"/>
      <c r="J200" s="30"/>
      <c r="K200" s="30"/>
      <c r="L200" s="31"/>
      <c r="N200"/>
      <c r="O200"/>
      <c r="P200"/>
      <c r="Q200"/>
      <c r="R200"/>
      <c r="S200"/>
      <c r="T200"/>
      <c r="U200"/>
      <c r="V200"/>
      <c r="W200"/>
      <c r="X200"/>
      <c r="Y200"/>
      <c r="Z200"/>
      <c r="AA200"/>
      <c r="AB200"/>
      <c r="AC200"/>
      <c r="AD200"/>
      <c r="AE200"/>
      <c r="AF200"/>
      <c r="AG200"/>
    </row>
    <row r="201" spans="1:33" s="5" customFormat="1" x14ac:dyDescent="0.2">
      <c r="A201" s="30"/>
      <c r="B201" s="30"/>
      <c r="C201" s="30"/>
      <c r="D201" s="51"/>
      <c r="E201" s="30" t="str">
        <f>TEXT(G163,"0.00")&amp;" + ["&amp;TEXT(I198,"0.00")&amp;" / ((1/6)*"&amp;TEXT(E16,"0.00")&amp;"*"&amp;TEXT(E17,"0.00")&amp;"^2)] = "</f>
        <v xml:space="preserve">1.08 + [157.17 / ((1/6)*24.00*10.00^2)] = </v>
      </c>
      <c r="F201" s="30"/>
      <c r="G201" s="30"/>
      <c r="H201" s="30"/>
      <c r="I201" s="46">
        <f>G163+(I198/(1/6*E16*E17^2))</f>
        <v>1.4762547371889931</v>
      </c>
      <c r="J201" s="30"/>
      <c r="K201" s="30"/>
      <c r="L201" s="31"/>
      <c r="N201"/>
      <c r="O201"/>
      <c r="P201"/>
      <c r="Q201"/>
      <c r="R201"/>
      <c r="S201"/>
      <c r="T201"/>
      <c r="U201"/>
      <c r="V201"/>
      <c r="W201"/>
      <c r="X201"/>
      <c r="Y201"/>
      <c r="Z201"/>
      <c r="AA201"/>
      <c r="AB201"/>
      <c r="AC201"/>
      <c r="AD201"/>
      <c r="AE201"/>
      <c r="AF201"/>
      <c r="AG201"/>
    </row>
    <row r="202" spans="1:33" s="5" customFormat="1" x14ac:dyDescent="0.2">
      <c r="A202" s="30"/>
      <c r="B202" s="30"/>
      <c r="C202" s="30"/>
      <c r="D202" s="51"/>
      <c r="E202" s="30"/>
      <c r="F202" s="30"/>
      <c r="G202" s="30"/>
      <c r="H202" s="30"/>
      <c r="I202" s="47"/>
      <c r="J202" s="30"/>
      <c r="K202" s="30"/>
      <c r="L202" s="31"/>
      <c r="N202"/>
      <c r="O202"/>
      <c r="P202"/>
      <c r="Q202"/>
      <c r="R202"/>
      <c r="S202"/>
      <c r="T202"/>
      <c r="U202"/>
      <c r="V202"/>
      <c r="W202"/>
      <c r="X202"/>
      <c r="Y202"/>
      <c r="Z202"/>
      <c r="AA202"/>
      <c r="AB202"/>
      <c r="AC202"/>
      <c r="AD202"/>
      <c r="AE202"/>
      <c r="AF202"/>
      <c r="AG202"/>
    </row>
    <row r="203" spans="1:33" s="5" customFormat="1" x14ac:dyDescent="0.2">
      <c r="A203" s="37"/>
      <c r="B203" s="30"/>
      <c r="C203" s="30"/>
      <c r="D203" s="36"/>
      <c r="E203" s="36"/>
      <c r="F203" s="36"/>
      <c r="G203" s="36"/>
      <c r="H203" s="36"/>
      <c r="I203" s="47"/>
      <c r="J203" s="45" t="s">
        <v>171</v>
      </c>
      <c r="K203" s="26"/>
      <c r="L203" s="26"/>
      <c r="N203"/>
      <c r="O203"/>
      <c r="P203"/>
      <c r="Q203"/>
      <c r="R203"/>
      <c r="S203"/>
      <c r="T203"/>
      <c r="U203"/>
      <c r="V203"/>
      <c r="W203"/>
      <c r="X203"/>
      <c r="Y203"/>
      <c r="Z203"/>
      <c r="AA203"/>
      <c r="AB203"/>
      <c r="AC203"/>
      <c r="AD203"/>
      <c r="AE203"/>
      <c r="AF203"/>
      <c r="AG203"/>
    </row>
    <row r="204" spans="1:33" s="5" customFormat="1" ht="12.75" customHeight="1" x14ac:dyDescent="0.2">
      <c r="A204" s="37"/>
      <c r="B204" s="30"/>
      <c r="C204" s="30"/>
      <c r="D204" s="36"/>
      <c r="E204" s="38" t="s">
        <v>170</v>
      </c>
      <c r="F204" s="38"/>
      <c r="G204" s="38"/>
      <c r="H204" s="38"/>
      <c r="I204" s="47"/>
      <c r="J204" s="26"/>
      <c r="K204" s="26"/>
      <c r="L204" s="26"/>
      <c r="N204"/>
      <c r="O204"/>
      <c r="P204"/>
      <c r="Q204"/>
      <c r="R204"/>
      <c r="S204"/>
      <c r="T204"/>
      <c r="U204"/>
      <c r="V204"/>
      <c r="W204"/>
      <c r="X204"/>
      <c r="Y204"/>
      <c r="Z204"/>
      <c r="AA204"/>
      <c r="AB204"/>
      <c r="AC204"/>
      <c r="AD204"/>
      <c r="AE204"/>
      <c r="AF204"/>
      <c r="AG204"/>
    </row>
    <row r="205" spans="1:33" s="5" customFormat="1" x14ac:dyDescent="0.2">
      <c r="A205" s="37"/>
      <c r="B205" s="30"/>
      <c r="C205" s="30"/>
      <c r="D205" s="36"/>
      <c r="E205" s="36"/>
      <c r="F205" s="36"/>
      <c r="G205" s="36"/>
      <c r="H205" s="36"/>
      <c r="I205" s="47"/>
      <c r="J205" s="26"/>
      <c r="K205" s="26"/>
      <c r="L205" s="26"/>
      <c r="N205"/>
      <c r="O205"/>
      <c r="P205"/>
      <c r="Q205"/>
      <c r="R205"/>
      <c r="S205"/>
      <c r="T205"/>
      <c r="U205"/>
      <c r="V205"/>
      <c r="W205"/>
      <c r="X205"/>
      <c r="Y205"/>
      <c r="Z205"/>
      <c r="AA205"/>
      <c r="AB205"/>
      <c r="AC205"/>
      <c r="AD205"/>
      <c r="AE205"/>
      <c r="AF205"/>
      <c r="AG205"/>
    </row>
    <row r="206" spans="1:33" s="5" customFormat="1" x14ac:dyDescent="0.2">
      <c r="A206" s="37"/>
      <c r="B206" s="30" t="s">
        <v>56</v>
      </c>
      <c r="C206" s="30"/>
      <c r="D206" s="36"/>
      <c r="E206" s="36"/>
      <c r="F206" s="36"/>
      <c r="G206" s="36"/>
      <c r="H206" s="36"/>
      <c r="I206" s="47"/>
      <c r="J206" s="26"/>
      <c r="K206" s="26"/>
      <c r="L206" s="26"/>
      <c r="N206"/>
      <c r="O206"/>
      <c r="P206"/>
      <c r="Q206"/>
      <c r="R206"/>
      <c r="S206"/>
      <c r="T206"/>
      <c r="U206"/>
      <c r="V206"/>
      <c r="W206"/>
      <c r="X206"/>
      <c r="Y206"/>
      <c r="Z206"/>
      <c r="AA206"/>
      <c r="AB206"/>
      <c r="AC206"/>
      <c r="AD206"/>
      <c r="AE206"/>
      <c r="AF206"/>
      <c r="AG206"/>
    </row>
    <row r="207" spans="1:33" s="5" customFormat="1" x14ac:dyDescent="0.2">
      <c r="A207" s="37"/>
      <c r="B207" s="30"/>
      <c r="C207" s="30"/>
      <c r="D207" s="36"/>
      <c r="E207" s="36"/>
      <c r="F207" s="47" t="str">
        <f>TEXT(E111,"0.000")&amp;" + "&amp;TEXT(E117,"0.000")&amp;" ="</f>
        <v>-0.001 + 0.005 =</v>
      </c>
      <c r="G207" s="36"/>
      <c r="H207" s="36"/>
      <c r="I207" s="49">
        <f>E111+E117</f>
        <v>4.0000000000000001E-3</v>
      </c>
      <c r="J207" s="30"/>
      <c r="K207" s="30"/>
      <c r="L207" s="31"/>
      <c r="N207"/>
      <c r="O207"/>
      <c r="P207"/>
      <c r="Q207"/>
      <c r="R207"/>
      <c r="S207"/>
      <c r="T207"/>
      <c r="U207"/>
      <c r="V207"/>
      <c r="W207"/>
      <c r="X207"/>
      <c r="Y207"/>
      <c r="Z207"/>
      <c r="AA207"/>
      <c r="AB207"/>
      <c r="AC207"/>
      <c r="AD207"/>
      <c r="AE207"/>
      <c r="AF207"/>
      <c r="AG207"/>
    </row>
    <row r="208" spans="1:33" s="5" customFormat="1" x14ac:dyDescent="0.2">
      <c r="A208" s="37"/>
      <c r="B208" s="30"/>
      <c r="C208" s="30"/>
      <c r="D208" s="36"/>
      <c r="E208" s="36"/>
      <c r="F208" s="36"/>
      <c r="G208" s="36"/>
      <c r="H208" s="36"/>
      <c r="I208" s="47"/>
      <c r="J208" s="30"/>
      <c r="K208" s="30"/>
      <c r="L208" s="31"/>
      <c r="N208"/>
      <c r="O208"/>
      <c r="P208"/>
      <c r="Q208"/>
      <c r="R208"/>
      <c r="S208"/>
      <c r="T208"/>
      <c r="U208"/>
      <c r="V208"/>
      <c r="W208"/>
      <c r="X208"/>
      <c r="Y208"/>
      <c r="Z208"/>
      <c r="AA208"/>
      <c r="AB208"/>
      <c r="AC208"/>
      <c r="AD208"/>
      <c r="AE208"/>
      <c r="AF208"/>
      <c r="AG208"/>
    </row>
    <row r="209" spans="1:33" s="5" customFormat="1" x14ac:dyDescent="0.2">
      <c r="A209" s="37"/>
      <c r="B209" s="30"/>
      <c r="C209" s="30"/>
      <c r="D209" s="36"/>
      <c r="E209" s="36"/>
      <c r="F209" s="36"/>
      <c r="G209" s="36"/>
      <c r="H209" s="36"/>
      <c r="I209" s="47"/>
      <c r="J209" s="30"/>
      <c r="K209" s="30"/>
      <c r="L209" s="31"/>
      <c r="N209"/>
      <c r="O209"/>
      <c r="P209"/>
      <c r="Q209"/>
      <c r="R209"/>
      <c r="S209"/>
      <c r="T209"/>
      <c r="U209"/>
      <c r="V209"/>
      <c r="W209"/>
      <c r="X209"/>
      <c r="Y209"/>
      <c r="Z209"/>
      <c r="AA209"/>
      <c r="AB209"/>
      <c r="AC209"/>
      <c r="AD209"/>
      <c r="AE209"/>
      <c r="AF209"/>
      <c r="AG209"/>
    </row>
    <row r="210" spans="1:33" s="5" customFormat="1" x14ac:dyDescent="0.2">
      <c r="A210" s="37"/>
      <c r="B210" s="30"/>
      <c r="C210" s="30"/>
      <c r="D210" s="36"/>
      <c r="E210" s="47" t="str">
        <f>"(0.5*"&amp;TEXT(G191,"0.00")&amp;"*"&amp;TEXT(F193,"0.00")&amp;")*("&amp;TEXT(I207,"0.000")&amp;"/"&amp;TEXT(E24,"0.00")&amp;") ="</f>
        <v>(0.5*41.26*2000.00)*(0.004/2.63) =</v>
      </c>
      <c r="F210" s="36"/>
      <c r="G210" s="36"/>
      <c r="H210" s="36"/>
      <c r="I210" s="50">
        <f>(0.5*G191*F193)*(I207/E24)</f>
        <v>62.867424616905573</v>
      </c>
      <c r="J210" s="30"/>
      <c r="K210" s="30"/>
      <c r="L210" s="31"/>
      <c r="N210"/>
      <c r="O210"/>
      <c r="P210"/>
      <c r="Q210"/>
      <c r="R210"/>
      <c r="S210"/>
      <c r="T210"/>
      <c r="U210"/>
      <c r="V210"/>
      <c r="W210"/>
      <c r="X210"/>
      <c r="Y210"/>
      <c r="Z210"/>
      <c r="AA210"/>
      <c r="AB210"/>
      <c r="AC210"/>
      <c r="AD210"/>
      <c r="AE210"/>
      <c r="AF210"/>
      <c r="AG210"/>
    </row>
    <row r="211" spans="1:33" s="5" customFormat="1" x14ac:dyDescent="0.2">
      <c r="A211" s="30"/>
      <c r="B211" s="30"/>
      <c r="C211" s="30"/>
      <c r="D211" s="51"/>
      <c r="E211" s="30"/>
      <c r="F211" s="30"/>
      <c r="G211" s="30"/>
      <c r="H211" s="30"/>
      <c r="I211" s="47"/>
      <c r="J211" s="30"/>
      <c r="K211" s="30"/>
      <c r="L211" s="31"/>
      <c r="N211"/>
      <c r="O211"/>
      <c r="P211"/>
      <c r="Q211"/>
      <c r="R211"/>
      <c r="S211"/>
      <c r="T211"/>
      <c r="U211"/>
      <c r="V211"/>
      <c r="W211"/>
      <c r="X211"/>
      <c r="Y211"/>
      <c r="Z211"/>
      <c r="AA211"/>
      <c r="AB211"/>
      <c r="AC211"/>
      <c r="AD211"/>
      <c r="AE211"/>
      <c r="AF211"/>
      <c r="AG211"/>
    </row>
    <row r="212" spans="1:33" s="5" customFormat="1" x14ac:dyDescent="0.2">
      <c r="A212" s="30"/>
      <c r="B212" s="30"/>
      <c r="C212" s="30"/>
      <c r="D212" s="52"/>
      <c r="E212" s="36"/>
      <c r="F212" s="53"/>
      <c r="G212" s="30"/>
      <c r="H212" s="30"/>
      <c r="I212" s="47"/>
      <c r="J212" s="30"/>
      <c r="K212" s="30"/>
      <c r="L212" s="31"/>
      <c r="N212"/>
      <c r="O212"/>
      <c r="P212"/>
      <c r="Q212"/>
      <c r="R212"/>
      <c r="S212"/>
      <c r="T212"/>
      <c r="U212"/>
      <c r="V212"/>
      <c r="W212"/>
      <c r="X212"/>
      <c r="Y212"/>
      <c r="Z212"/>
      <c r="AA212"/>
      <c r="AB212"/>
      <c r="AC212"/>
      <c r="AD212"/>
      <c r="AE212"/>
      <c r="AF212"/>
      <c r="AG212"/>
    </row>
    <row r="213" spans="1:33" s="5" customFormat="1" x14ac:dyDescent="0.2">
      <c r="A213" s="30"/>
      <c r="B213" s="30"/>
      <c r="C213" s="30"/>
      <c r="D213" s="52"/>
      <c r="E213" s="30" t="str">
        <f>TEXT(G173,"0.00")&amp;" + ["&amp;TEXT(I210,"0.00")&amp;" / ((1/6)*"&amp;TEXT(E16,"0.00")&amp;"*"&amp;TEXT(E17,"0.00")&amp;"^2)] = "</f>
        <v xml:space="preserve">0.83 + [62.87 / ((1/6)*24.00*10.00^2)] = </v>
      </c>
      <c r="F213" s="53"/>
      <c r="G213" s="30"/>
      <c r="H213" s="30"/>
      <c r="I213" s="46">
        <f>G173+(I210/(1/6*E16*E17^2))</f>
        <v>0.99050189487559726</v>
      </c>
      <c r="J213" s="30"/>
      <c r="K213" s="30"/>
      <c r="L213" s="31"/>
      <c r="N213"/>
      <c r="O213"/>
      <c r="P213"/>
      <c r="Q213"/>
      <c r="R213"/>
      <c r="S213"/>
      <c r="T213"/>
      <c r="U213"/>
      <c r="V213"/>
      <c r="W213"/>
      <c r="X213"/>
      <c r="Y213"/>
      <c r="Z213"/>
      <c r="AA213"/>
      <c r="AB213"/>
      <c r="AC213"/>
      <c r="AD213"/>
      <c r="AE213"/>
      <c r="AF213"/>
      <c r="AG213"/>
    </row>
    <row r="214" spans="1:33" s="5" customFormat="1" x14ac:dyDescent="0.2">
      <c r="A214" s="30"/>
      <c r="B214" s="30"/>
      <c r="C214" s="30"/>
      <c r="D214" s="52"/>
      <c r="E214" s="30"/>
      <c r="F214" s="53"/>
      <c r="G214" s="30"/>
      <c r="H214" s="30"/>
      <c r="I214" s="30"/>
      <c r="J214" s="30"/>
      <c r="K214" s="30"/>
      <c r="L214" s="31"/>
      <c r="N214"/>
      <c r="O214"/>
      <c r="P214"/>
      <c r="Q214"/>
      <c r="R214"/>
      <c r="S214"/>
      <c r="T214"/>
      <c r="U214"/>
      <c r="V214"/>
      <c r="W214"/>
      <c r="X214"/>
      <c r="Y214"/>
      <c r="Z214"/>
      <c r="AA214"/>
      <c r="AB214"/>
      <c r="AC214"/>
      <c r="AD214"/>
      <c r="AE214"/>
      <c r="AF214"/>
      <c r="AG214"/>
    </row>
    <row r="215" spans="1:33" s="5" customFormat="1" ht="13.5" x14ac:dyDescent="0.2">
      <c r="A215" s="30"/>
      <c r="B215" s="30"/>
      <c r="C215" s="30"/>
      <c r="D215" s="52" t="s">
        <v>56</v>
      </c>
      <c r="E215" s="30"/>
      <c r="F215" s="53" t="s">
        <v>196</v>
      </c>
      <c r="G215" s="30"/>
      <c r="H215" s="30"/>
      <c r="I215" s="30"/>
      <c r="J215" s="30"/>
      <c r="K215" s="30"/>
      <c r="L215" s="31"/>
      <c r="N215"/>
      <c r="O215"/>
      <c r="P215"/>
      <c r="Q215"/>
      <c r="R215"/>
      <c r="S215"/>
      <c r="T215"/>
      <c r="U215"/>
      <c r="V215"/>
      <c r="W215"/>
      <c r="X215"/>
      <c r="Y215"/>
      <c r="Z215"/>
      <c r="AA215"/>
      <c r="AB215"/>
      <c r="AC215"/>
      <c r="AD215"/>
      <c r="AE215"/>
      <c r="AF215"/>
      <c r="AG215"/>
    </row>
    <row r="216" spans="1:33" s="5" customFormat="1" x14ac:dyDescent="0.2">
      <c r="A216" s="30"/>
      <c r="B216" s="30"/>
      <c r="C216" s="30"/>
      <c r="D216" s="52"/>
      <c r="E216" s="30"/>
      <c r="F216" s="53"/>
      <c r="G216" s="30"/>
      <c r="H216" s="30"/>
      <c r="I216" s="30"/>
      <c r="J216" s="30"/>
      <c r="K216" s="30"/>
      <c r="L216" s="31"/>
      <c r="N216"/>
      <c r="O216"/>
      <c r="P216"/>
      <c r="Q216"/>
      <c r="R216"/>
      <c r="S216"/>
      <c r="T216"/>
      <c r="U216"/>
      <c r="V216"/>
      <c r="W216"/>
      <c r="X216"/>
      <c r="Y216"/>
      <c r="Z216"/>
      <c r="AA216"/>
      <c r="AB216"/>
      <c r="AC216"/>
      <c r="AD216"/>
      <c r="AE216"/>
      <c r="AF216"/>
      <c r="AG216"/>
    </row>
    <row r="217" spans="1:33" s="5" customFormat="1" x14ac:dyDescent="0.2">
      <c r="A217" s="30"/>
      <c r="B217" s="41" t="s">
        <v>16</v>
      </c>
      <c r="C217" s="30"/>
      <c r="D217" s="36"/>
      <c r="E217" s="36"/>
      <c r="F217" s="36"/>
      <c r="G217" s="36"/>
      <c r="H217" s="36"/>
      <c r="I217" s="36"/>
      <c r="J217" s="30"/>
      <c r="K217" s="30"/>
      <c r="L217" s="31" t="s">
        <v>143</v>
      </c>
      <c r="N217"/>
      <c r="O217"/>
      <c r="P217"/>
      <c r="Q217"/>
      <c r="R217"/>
      <c r="S217"/>
      <c r="T217"/>
      <c r="U217"/>
      <c r="V217"/>
      <c r="W217"/>
      <c r="X217"/>
      <c r="Y217"/>
      <c r="Z217"/>
      <c r="AA217"/>
      <c r="AB217"/>
      <c r="AC217"/>
      <c r="AD217"/>
      <c r="AE217"/>
      <c r="AF217"/>
      <c r="AG217"/>
    </row>
    <row r="218" spans="1:33" s="5" customFormat="1" x14ac:dyDescent="0.2">
      <c r="A218" s="30"/>
      <c r="B218" s="41"/>
      <c r="C218" s="30"/>
      <c r="D218" s="40">
        <f>I201</f>
        <v>1.4762547371889931</v>
      </c>
      <c r="E218" s="36" t="str">
        <f>IF(D218&gt;G218,"&gt;",IF(D218&lt;G218,"&lt;","="))</f>
        <v>&lt;</v>
      </c>
      <c r="F218" s="36"/>
      <c r="G218" s="42">
        <v>3</v>
      </c>
      <c r="H218" s="43" t="str">
        <f>IF(D218&lt;=G218,"OK","FAILS")</f>
        <v>OK</v>
      </c>
      <c r="I218" s="36"/>
      <c r="J218" s="30"/>
      <c r="K218" s="30"/>
      <c r="L218" s="31"/>
      <c r="N218"/>
      <c r="O218"/>
      <c r="P218"/>
      <c r="Q218"/>
      <c r="R218"/>
      <c r="S218"/>
      <c r="T218"/>
      <c r="U218"/>
      <c r="V218"/>
      <c r="W218"/>
      <c r="X218"/>
      <c r="Y218"/>
      <c r="Z218"/>
      <c r="AA218"/>
      <c r="AB218"/>
      <c r="AC218"/>
      <c r="AD218"/>
      <c r="AE218"/>
      <c r="AF218"/>
      <c r="AG218"/>
    </row>
    <row r="219" spans="1:33" s="5" customFormat="1" x14ac:dyDescent="0.2">
      <c r="A219" s="30"/>
      <c r="B219" s="41"/>
      <c r="C219" s="30"/>
      <c r="D219" s="36"/>
      <c r="E219" s="36"/>
      <c r="F219" s="36"/>
      <c r="G219" s="36"/>
      <c r="H219" s="43"/>
      <c r="I219" s="36"/>
      <c r="J219" s="30"/>
      <c r="K219" s="30"/>
      <c r="L219" s="31"/>
      <c r="N219"/>
      <c r="O219"/>
      <c r="P219"/>
      <c r="Q219"/>
      <c r="R219"/>
      <c r="S219"/>
      <c r="T219"/>
      <c r="U219"/>
      <c r="V219"/>
      <c r="W219"/>
      <c r="X219"/>
      <c r="Y219"/>
      <c r="Z219"/>
      <c r="AA219"/>
      <c r="AB219"/>
      <c r="AC219"/>
      <c r="AD219"/>
      <c r="AE219"/>
      <c r="AF219"/>
      <c r="AG219"/>
    </row>
    <row r="220" spans="1:33" s="5" customFormat="1" x14ac:dyDescent="0.2">
      <c r="A220" s="30"/>
      <c r="B220" s="41"/>
      <c r="C220" s="30"/>
      <c r="D220" s="40">
        <f>I213</f>
        <v>0.99050189487559726</v>
      </c>
      <c r="E220" s="36" t="str">
        <f>IF(D220&gt;G220,"&gt;",IF(D220&lt;G220,"&lt;","="))</f>
        <v>&lt;</v>
      </c>
      <c r="F220" s="36"/>
      <c r="G220" s="42">
        <v>2</v>
      </c>
      <c r="H220" s="43" t="str">
        <f>IF(D220&lt;=G220,"OK","FAILS")</f>
        <v>OK</v>
      </c>
      <c r="I220" s="36"/>
      <c r="J220" s="30"/>
      <c r="K220" s="30"/>
      <c r="L220" s="31"/>
      <c r="N220"/>
      <c r="O220"/>
      <c r="P220"/>
      <c r="Q220"/>
      <c r="R220"/>
      <c r="S220"/>
      <c r="T220"/>
      <c r="U220"/>
      <c r="V220"/>
      <c r="W220"/>
      <c r="X220"/>
      <c r="Y220"/>
      <c r="Z220"/>
      <c r="AA220"/>
      <c r="AB220"/>
      <c r="AC220"/>
      <c r="AD220"/>
      <c r="AE220"/>
      <c r="AF220"/>
      <c r="AG220"/>
    </row>
    <row r="221" spans="1:33" s="5" customFormat="1" x14ac:dyDescent="0.2">
      <c r="A221" s="30"/>
      <c r="B221" s="41"/>
      <c r="C221" s="30"/>
      <c r="D221" s="40"/>
      <c r="E221" s="36"/>
      <c r="F221" s="36"/>
      <c r="G221" s="40"/>
      <c r="H221" s="36"/>
      <c r="I221" s="36"/>
      <c r="J221" s="30"/>
      <c r="K221" s="30"/>
      <c r="L221" s="31"/>
      <c r="N221"/>
      <c r="O221"/>
      <c r="P221"/>
      <c r="Q221"/>
      <c r="R221"/>
      <c r="S221"/>
      <c r="T221"/>
      <c r="U221"/>
      <c r="V221"/>
      <c r="W221"/>
      <c r="X221"/>
      <c r="Y221"/>
      <c r="Z221"/>
      <c r="AA221"/>
      <c r="AB221"/>
      <c r="AC221"/>
      <c r="AD221"/>
      <c r="AE221"/>
      <c r="AF221"/>
      <c r="AG221"/>
    </row>
    <row r="222" spans="1:33" s="5" customFormat="1" x14ac:dyDescent="0.2">
      <c r="A222" s="29" t="s">
        <v>144</v>
      </c>
      <c r="B222" s="41"/>
      <c r="C222" s="30"/>
      <c r="D222" s="40"/>
      <c r="E222" s="36"/>
      <c r="F222" s="36"/>
      <c r="G222" s="40"/>
      <c r="H222" s="36"/>
      <c r="I222" s="36"/>
      <c r="J222" s="30"/>
      <c r="K222" s="30"/>
      <c r="L222" s="31" t="s">
        <v>145</v>
      </c>
      <c r="N222"/>
      <c r="O222"/>
      <c r="P222"/>
      <c r="Q222"/>
      <c r="R222"/>
      <c r="S222"/>
      <c r="T222"/>
      <c r="U222"/>
      <c r="V222"/>
      <c r="W222"/>
      <c r="X222"/>
      <c r="Y222"/>
      <c r="Z222"/>
      <c r="AA222"/>
      <c r="AB222"/>
      <c r="AC222"/>
      <c r="AD222"/>
      <c r="AE222"/>
      <c r="AF222"/>
      <c r="AG222"/>
    </row>
    <row r="223" spans="1:33" s="5" customFormat="1" x14ac:dyDescent="0.2">
      <c r="A223" s="54" t="s">
        <v>191</v>
      </c>
      <c r="B223" s="54"/>
      <c r="C223" s="54"/>
      <c r="D223" s="54"/>
      <c r="E223" s="54"/>
      <c r="F223" s="54"/>
      <c r="G223" s="54"/>
      <c r="H223" s="54"/>
      <c r="I223" s="54"/>
      <c r="J223" s="54"/>
      <c r="K223" s="54"/>
      <c r="L223" s="54"/>
      <c r="N223"/>
      <c r="O223"/>
      <c r="P223"/>
      <c r="Q223"/>
      <c r="R223"/>
      <c r="S223"/>
      <c r="T223"/>
      <c r="U223"/>
      <c r="V223"/>
      <c r="W223"/>
      <c r="X223"/>
      <c r="Y223"/>
      <c r="Z223"/>
      <c r="AA223"/>
      <c r="AB223"/>
      <c r="AC223"/>
      <c r="AD223"/>
      <c r="AE223"/>
      <c r="AF223"/>
      <c r="AG223"/>
    </row>
    <row r="224" spans="1:33" s="5" customFormat="1" x14ac:dyDescent="0.2">
      <c r="A224" s="54"/>
      <c r="B224" s="54"/>
      <c r="C224" s="54"/>
      <c r="D224" s="54"/>
      <c r="E224" s="54"/>
      <c r="F224" s="54"/>
      <c r="G224" s="54"/>
      <c r="H224" s="54"/>
      <c r="I224" s="54"/>
      <c r="J224" s="54"/>
      <c r="K224" s="54"/>
      <c r="L224" s="54"/>
      <c r="N224"/>
      <c r="O224"/>
      <c r="P224"/>
      <c r="Q224"/>
      <c r="R224"/>
      <c r="S224"/>
      <c r="T224"/>
      <c r="U224"/>
      <c r="V224"/>
      <c r="W224"/>
      <c r="X224"/>
      <c r="Y224"/>
      <c r="Z224"/>
      <c r="AA224"/>
      <c r="AB224"/>
      <c r="AC224"/>
      <c r="AD224"/>
      <c r="AE224"/>
      <c r="AF224"/>
      <c r="AG224"/>
    </row>
    <row r="225" spans="1:33" s="5" customFormat="1" x14ac:dyDescent="0.2">
      <c r="A225" s="55"/>
      <c r="B225" s="55"/>
      <c r="C225" s="55"/>
      <c r="D225" s="55"/>
      <c r="E225" s="55"/>
      <c r="F225" s="55"/>
      <c r="G225" s="55"/>
      <c r="H225" s="55"/>
      <c r="I225" s="55"/>
      <c r="J225" s="55"/>
      <c r="K225" s="55"/>
      <c r="L225" s="55"/>
      <c r="N225"/>
      <c r="O225"/>
      <c r="P225"/>
      <c r="Q225"/>
      <c r="R225"/>
      <c r="S225"/>
      <c r="T225"/>
      <c r="U225"/>
      <c r="V225"/>
      <c r="W225"/>
      <c r="X225"/>
      <c r="Y225"/>
      <c r="Z225"/>
      <c r="AA225"/>
      <c r="AB225"/>
      <c r="AC225"/>
      <c r="AD225"/>
      <c r="AE225"/>
      <c r="AF225"/>
      <c r="AG225"/>
    </row>
    <row r="226" spans="1:33" s="5" customFormat="1" x14ac:dyDescent="0.2">
      <c r="A226" s="55"/>
      <c r="B226" s="55"/>
      <c r="C226" s="55"/>
      <c r="D226" s="55"/>
      <c r="E226" s="55"/>
      <c r="F226" s="56"/>
      <c r="G226" s="56">
        <f>G163</f>
        <v>1.0833333333333333</v>
      </c>
      <c r="H226" s="55"/>
      <c r="I226" s="55"/>
      <c r="J226" s="55"/>
      <c r="K226" s="55"/>
      <c r="L226" s="55"/>
      <c r="N226" s="23"/>
      <c r="O226" s="23"/>
      <c r="P226" s="23"/>
      <c r="Q226" s="23"/>
      <c r="R226"/>
      <c r="S226"/>
      <c r="T226"/>
      <c r="U226"/>
      <c r="V226"/>
      <c r="W226"/>
      <c r="X226"/>
      <c r="Y226"/>
      <c r="Z226"/>
      <c r="AA226"/>
      <c r="AB226"/>
      <c r="AC226"/>
      <c r="AD226"/>
      <c r="AE226"/>
      <c r="AF226"/>
      <c r="AG226"/>
    </row>
    <row r="227" spans="1:33" s="5" customFormat="1" x14ac:dyDescent="0.2">
      <c r="A227" s="55"/>
      <c r="B227" s="55"/>
      <c r="C227" s="55"/>
      <c r="D227" s="55"/>
      <c r="E227" s="55"/>
      <c r="F227" s="55"/>
      <c r="G227" s="55"/>
      <c r="H227" s="55"/>
      <c r="I227" s="55"/>
      <c r="J227" s="55"/>
      <c r="K227" s="55"/>
      <c r="L227" s="55"/>
      <c r="N227" s="23"/>
      <c r="O227" s="23"/>
      <c r="P227" s="23"/>
      <c r="Q227" s="23"/>
      <c r="R227"/>
      <c r="S227"/>
      <c r="T227"/>
      <c r="U227"/>
      <c r="V227"/>
      <c r="W227"/>
      <c r="X227"/>
      <c r="Y227"/>
      <c r="Z227"/>
      <c r="AA227"/>
      <c r="AB227"/>
      <c r="AC227"/>
      <c r="AD227"/>
      <c r="AE227"/>
      <c r="AF227"/>
      <c r="AG227"/>
    </row>
    <row r="228" spans="1:33" s="5" customFormat="1" x14ac:dyDescent="0.2">
      <c r="A228" s="30"/>
      <c r="B228" s="41"/>
      <c r="C228" s="43"/>
      <c r="D228" s="57" t="s">
        <v>197</v>
      </c>
      <c r="E228" s="58" t="s">
        <v>146</v>
      </c>
      <c r="F228" s="57"/>
      <c r="G228" s="59"/>
      <c r="H228" s="36"/>
      <c r="I228" s="36"/>
      <c r="J228" s="30"/>
      <c r="K228" s="30"/>
      <c r="L228" s="31"/>
      <c r="N228" s="23"/>
      <c r="O228"/>
      <c r="P228"/>
      <c r="Q228"/>
      <c r="R228"/>
      <c r="S228"/>
      <c r="T228"/>
      <c r="U228"/>
      <c r="V228"/>
      <c r="W228"/>
      <c r="X228"/>
      <c r="Y228"/>
      <c r="Z228"/>
      <c r="AA228"/>
      <c r="AB228"/>
      <c r="AC228"/>
      <c r="AD228"/>
      <c r="AE228"/>
      <c r="AF228"/>
      <c r="AG228"/>
    </row>
    <row r="229" spans="1:33" s="5" customFormat="1" x14ac:dyDescent="0.2">
      <c r="A229" s="30"/>
      <c r="B229" s="41"/>
      <c r="C229" s="36"/>
      <c r="D229" s="60"/>
      <c r="E229" s="57"/>
      <c r="F229" s="57"/>
      <c r="G229" s="59"/>
      <c r="H229" s="36"/>
      <c r="I229" s="36"/>
      <c r="J229" s="30"/>
      <c r="K229" s="30"/>
      <c r="L229" s="31"/>
      <c r="N229"/>
      <c r="O229"/>
      <c r="P229"/>
      <c r="Q229"/>
      <c r="R229"/>
      <c r="S229"/>
      <c r="T229"/>
      <c r="U229"/>
      <c r="V229"/>
      <c r="W229"/>
      <c r="X229"/>
      <c r="Y229"/>
      <c r="Z229"/>
      <c r="AA229"/>
      <c r="AB229"/>
      <c r="AC229"/>
      <c r="AD229"/>
      <c r="AE229"/>
      <c r="AF229"/>
      <c r="AG229"/>
    </row>
    <row r="230" spans="1:33" s="5" customFormat="1" x14ac:dyDescent="0.2">
      <c r="A230" s="30"/>
      <c r="B230" s="41"/>
      <c r="C230" s="36"/>
      <c r="D230" s="59"/>
      <c r="E230" s="61">
        <v>1</v>
      </c>
      <c r="F230" s="62">
        <f>G163</f>
        <v>1.0833333333333333</v>
      </c>
      <c r="G230" s="61">
        <v>2</v>
      </c>
      <c r="H230" s="36"/>
      <c r="I230" s="63"/>
      <c r="J230" s="63">
        <f>F232</f>
        <v>4.4027777777777777E-2</v>
      </c>
      <c r="K230" s="30"/>
      <c r="L230" s="31"/>
      <c r="N230"/>
      <c r="O230"/>
      <c r="P230"/>
      <c r="Q230"/>
      <c r="R230"/>
      <c r="S230"/>
      <c r="T230"/>
      <c r="U230"/>
      <c r="V230"/>
      <c r="W230"/>
      <c r="X230"/>
      <c r="Y230"/>
      <c r="Z230"/>
      <c r="AA230"/>
      <c r="AB230"/>
      <c r="AC230"/>
      <c r="AD230"/>
      <c r="AE230"/>
      <c r="AF230"/>
      <c r="AG230"/>
    </row>
    <row r="231" spans="1:33" s="5" customFormat="1" x14ac:dyDescent="0.2">
      <c r="A231" s="64"/>
      <c r="B231" s="65"/>
      <c r="C231" s="66"/>
      <c r="D231" s="67">
        <v>68</v>
      </c>
      <c r="E231" s="68">
        <v>0.03</v>
      </c>
      <c r="F231" s="69">
        <f>E231+((F230-E230)/(G230-E230))*(G231-E231)</f>
        <v>2.9583333333333333E-2</v>
      </c>
      <c r="G231" s="68">
        <v>2.5000000000000001E-2</v>
      </c>
      <c r="H231" s="36"/>
      <c r="I231" s="36"/>
      <c r="J231" s="63"/>
      <c r="K231" s="30"/>
      <c r="L231" s="31"/>
      <c r="N231"/>
      <c r="O231"/>
      <c r="P231"/>
      <c r="Q231"/>
      <c r="R231"/>
      <c r="S231"/>
      <c r="T231"/>
      <c r="U231"/>
      <c r="V231"/>
      <c r="W231"/>
      <c r="X231"/>
      <c r="Y231"/>
      <c r="Z231"/>
      <c r="AA231"/>
      <c r="AB231"/>
      <c r="AC231"/>
      <c r="AD231"/>
      <c r="AE231"/>
      <c r="AF231"/>
      <c r="AG231"/>
    </row>
    <row r="232" spans="1:33" s="5" customFormat="1" x14ac:dyDescent="0.2">
      <c r="A232" s="64"/>
      <c r="B232" s="41"/>
      <c r="C232" s="70">
        <f>E128</f>
        <v>-10</v>
      </c>
      <c r="D232" s="71">
        <f>E128</f>
        <v>-10</v>
      </c>
      <c r="E232" s="72">
        <f>E233+((D232-D233)/(D231-D233))*(E231-E233)</f>
        <v>4.4444444444444446E-2</v>
      </c>
      <c r="F232" s="69">
        <f>F233+((D232-D233)/(D231-D233))*(F231-F233)</f>
        <v>4.4027777777777777E-2</v>
      </c>
      <c r="G232" s="72">
        <f>G233+((D232-D233)/(D231-D233))*(G231-G233)</f>
        <v>3.9444444444444449E-2</v>
      </c>
      <c r="H232" s="36"/>
      <c r="I232" s="36"/>
      <c r="J232" s="30"/>
      <c r="K232" s="30"/>
      <c r="L232" s="31"/>
      <c r="N232"/>
      <c r="O232"/>
      <c r="P232"/>
      <c r="Q232"/>
      <c r="R232"/>
      <c r="S232"/>
      <c r="T232"/>
      <c r="U232"/>
      <c r="V232"/>
      <c r="W232"/>
      <c r="X232"/>
      <c r="Y232"/>
      <c r="Z232"/>
      <c r="AA232"/>
      <c r="AB232"/>
      <c r="AC232"/>
      <c r="AD232"/>
      <c r="AE232"/>
      <c r="AF232"/>
      <c r="AG232"/>
    </row>
    <row r="233" spans="1:33" s="5" customFormat="1" x14ac:dyDescent="0.2">
      <c r="A233" s="30"/>
      <c r="B233" s="41"/>
      <c r="C233" s="66"/>
      <c r="D233" s="67">
        <v>-13</v>
      </c>
      <c r="E233" s="68">
        <v>4.4999999999999998E-2</v>
      </c>
      <c r="F233" s="69">
        <f>E233+((F230-E230)/(G230-E230))*(G233-E233)</f>
        <v>4.4583333333333329E-2</v>
      </c>
      <c r="G233" s="68">
        <v>0.04</v>
      </c>
      <c r="H233" s="36"/>
      <c r="I233" s="36"/>
      <c r="J233" s="30"/>
      <c r="K233" s="30"/>
      <c r="L233" s="31"/>
      <c r="N233"/>
      <c r="O233"/>
      <c r="P233"/>
      <c r="Q233"/>
      <c r="R233"/>
      <c r="S233"/>
      <c r="T233"/>
      <c r="U233"/>
      <c r="V233"/>
      <c r="W233"/>
      <c r="X233"/>
      <c r="Y233"/>
      <c r="Z233"/>
      <c r="AA233"/>
      <c r="AB233"/>
      <c r="AC233"/>
      <c r="AD233"/>
      <c r="AE233"/>
      <c r="AF233"/>
      <c r="AG233"/>
    </row>
    <row r="234" spans="1:33" s="5" customFormat="1" x14ac:dyDescent="0.2">
      <c r="A234" s="30"/>
      <c r="B234" s="41"/>
      <c r="C234" s="30"/>
      <c r="D234" s="40"/>
      <c r="E234" s="36"/>
      <c r="F234" s="36"/>
      <c r="G234" s="40"/>
      <c r="H234" s="30"/>
      <c r="I234" s="36"/>
      <c r="J234" s="30"/>
      <c r="K234" s="30"/>
      <c r="L234" s="31"/>
      <c r="N234"/>
      <c r="O234"/>
      <c r="P234"/>
      <c r="Q234"/>
      <c r="R234"/>
      <c r="S234"/>
      <c r="T234"/>
      <c r="U234"/>
      <c r="V234"/>
      <c r="W234"/>
      <c r="X234"/>
      <c r="Y234"/>
      <c r="Z234"/>
      <c r="AA234"/>
      <c r="AB234"/>
      <c r="AC234"/>
      <c r="AD234"/>
      <c r="AE234"/>
      <c r="AF234"/>
      <c r="AG234"/>
    </row>
    <row r="235" spans="1:33" s="5" customFormat="1" x14ac:dyDescent="0.2">
      <c r="A235" s="29" t="s">
        <v>81</v>
      </c>
      <c r="B235" s="30"/>
      <c r="C235" s="30"/>
      <c r="D235" s="30"/>
      <c r="E235" s="30"/>
      <c r="F235" s="73"/>
      <c r="G235" s="36"/>
      <c r="H235" s="73"/>
      <c r="I235" s="30"/>
      <c r="J235" s="30"/>
      <c r="K235" s="30"/>
      <c r="L235" s="31"/>
      <c r="N235"/>
      <c r="O235"/>
      <c r="P235"/>
      <c r="Q235"/>
      <c r="R235"/>
      <c r="S235"/>
      <c r="T235"/>
      <c r="U235"/>
      <c r="V235"/>
      <c r="W235"/>
      <c r="X235"/>
      <c r="Y235"/>
      <c r="Z235"/>
      <c r="AA235"/>
      <c r="AB235"/>
      <c r="AC235"/>
      <c r="AD235"/>
      <c r="AE235"/>
      <c r="AF235"/>
      <c r="AG235"/>
    </row>
    <row r="236" spans="1:33" s="5" customFormat="1" x14ac:dyDescent="0.2">
      <c r="A236" s="44" t="s">
        <v>194</v>
      </c>
      <c r="B236" s="44"/>
      <c r="C236" s="44"/>
      <c r="D236" s="44"/>
      <c r="E236" s="44"/>
      <c r="F236" s="44"/>
      <c r="G236" s="44"/>
      <c r="H236" s="44"/>
      <c r="I236" s="44"/>
      <c r="J236" s="44"/>
      <c r="K236" s="44"/>
      <c r="L236" s="44"/>
      <c r="N236"/>
      <c r="O236"/>
      <c r="P236"/>
      <c r="Q236"/>
      <c r="R236"/>
      <c r="S236"/>
      <c r="T236"/>
      <c r="U236"/>
      <c r="V236"/>
      <c r="W236"/>
      <c r="X236"/>
      <c r="Y236"/>
      <c r="Z236"/>
      <c r="AA236"/>
      <c r="AB236"/>
      <c r="AC236"/>
      <c r="AD236"/>
      <c r="AE236"/>
      <c r="AF236"/>
      <c r="AG236"/>
    </row>
    <row r="237" spans="1:33" s="5" customFormat="1" x14ac:dyDescent="0.2">
      <c r="A237" s="44"/>
      <c r="B237" s="44"/>
      <c r="C237" s="44"/>
      <c r="D237" s="44"/>
      <c r="E237" s="44"/>
      <c r="F237" s="44"/>
      <c r="G237" s="44"/>
      <c r="H237" s="44"/>
      <c r="I237" s="44"/>
      <c r="J237" s="44"/>
      <c r="K237" s="44"/>
      <c r="L237" s="44"/>
      <c r="N237"/>
      <c r="O237"/>
      <c r="P237"/>
      <c r="Q237"/>
      <c r="R237"/>
      <c r="S237"/>
      <c r="T237"/>
      <c r="U237"/>
      <c r="V237"/>
      <c r="W237"/>
      <c r="X237"/>
      <c r="Y237"/>
      <c r="Z237"/>
      <c r="AA237"/>
      <c r="AB237"/>
      <c r="AC237"/>
      <c r="AD237"/>
      <c r="AE237"/>
      <c r="AF237"/>
      <c r="AG237"/>
    </row>
    <row r="238" spans="1:33" s="5" customFormat="1" x14ac:dyDescent="0.2">
      <c r="A238" s="30" t="s">
        <v>177</v>
      </c>
      <c r="B238" s="41"/>
      <c r="C238" s="30"/>
      <c r="D238" s="40"/>
      <c r="E238" s="36"/>
      <c r="F238" s="36"/>
      <c r="G238" s="40"/>
      <c r="H238" s="30"/>
      <c r="I238" s="36"/>
      <c r="J238" s="30"/>
      <c r="K238" s="30"/>
      <c r="L238" s="31"/>
      <c r="N238"/>
      <c r="O238"/>
      <c r="P238"/>
      <c r="Q238"/>
      <c r="R238"/>
      <c r="S238"/>
      <c r="T238"/>
      <c r="U238"/>
      <c r="V238"/>
      <c r="W238"/>
      <c r="X238"/>
      <c r="Y238"/>
      <c r="Z238"/>
      <c r="AA238"/>
      <c r="AB238"/>
      <c r="AC238"/>
      <c r="AD238"/>
      <c r="AE238"/>
      <c r="AF238"/>
      <c r="AG238"/>
    </row>
    <row r="239" spans="1:33" s="5" customFormat="1" x14ac:dyDescent="0.2">
      <c r="A239" s="30"/>
      <c r="B239" s="41"/>
      <c r="C239" s="30"/>
      <c r="D239" s="40"/>
      <c r="E239" s="36"/>
      <c r="F239" s="36"/>
      <c r="G239" s="40"/>
      <c r="H239" s="30"/>
      <c r="I239" s="36"/>
      <c r="J239" s="30"/>
      <c r="K239" s="30"/>
      <c r="L239" s="31"/>
      <c r="N239"/>
      <c r="O239"/>
      <c r="P239"/>
      <c r="Q239"/>
      <c r="R239"/>
      <c r="S239"/>
      <c r="T239"/>
      <c r="U239"/>
      <c r="V239"/>
      <c r="W239"/>
      <c r="X239"/>
      <c r="Y239"/>
      <c r="Z239"/>
      <c r="AA239"/>
      <c r="AB239"/>
      <c r="AC239"/>
      <c r="AD239"/>
      <c r="AE239"/>
      <c r="AF239"/>
      <c r="AG239"/>
    </row>
    <row r="240" spans="1:33" s="5" customFormat="1" x14ac:dyDescent="0.2">
      <c r="A240" s="30"/>
      <c r="B240" s="41"/>
      <c r="C240" s="30"/>
      <c r="D240" s="46"/>
      <c r="E240" s="47" t="str">
        <f>TEXT(J230,"0.000")&amp;"*("&amp;TEXT(E103,"0.00")&amp;") ="</f>
        <v>0.044*(200.00) =</v>
      </c>
      <c r="F240" s="36"/>
      <c r="G240" s="74"/>
      <c r="H240" s="75">
        <f>J230*(E103)</f>
        <v>8.8055555555555554</v>
      </c>
      <c r="I240" s="36"/>
      <c r="J240" s="30"/>
      <c r="K240" s="30"/>
      <c r="L240" s="31" t="s">
        <v>128</v>
      </c>
      <c r="N240"/>
      <c r="O240"/>
      <c r="P240"/>
      <c r="Q240"/>
      <c r="R240"/>
      <c r="S240"/>
      <c r="T240"/>
      <c r="U240"/>
      <c r="V240"/>
      <c r="W240"/>
      <c r="X240"/>
      <c r="Y240"/>
      <c r="Z240"/>
      <c r="AA240"/>
      <c r="AB240"/>
      <c r="AC240"/>
      <c r="AD240"/>
      <c r="AE240"/>
      <c r="AF240"/>
      <c r="AG240"/>
    </row>
    <row r="241" spans="1:33" s="5" customFormat="1" x14ac:dyDescent="0.2">
      <c r="A241" s="30"/>
      <c r="B241" s="41"/>
      <c r="C241" s="30"/>
      <c r="D241" s="40"/>
      <c r="E241" s="36"/>
      <c r="F241" s="36"/>
      <c r="G241" s="40"/>
      <c r="H241" s="30"/>
      <c r="I241" s="36"/>
      <c r="J241" s="30"/>
      <c r="K241" s="30"/>
      <c r="L241" s="31"/>
      <c r="N241"/>
      <c r="O241"/>
      <c r="P241"/>
      <c r="Q241"/>
      <c r="R241"/>
      <c r="S241"/>
      <c r="T241"/>
      <c r="U241"/>
      <c r="V241"/>
      <c r="W241"/>
      <c r="X241"/>
      <c r="Y241"/>
      <c r="Z241"/>
      <c r="AA241"/>
      <c r="AB241"/>
      <c r="AC241"/>
      <c r="AD241"/>
      <c r="AE241"/>
      <c r="AF241"/>
      <c r="AG241"/>
    </row>
    <row r="242" spans="1:33" s="5" customFormat="1" x14ac:dyDescent="0.2">
      <c r="A242" s="30" t="s">
        <v>147</v>
      </c>
      <c r="B242" s="41"/>
      <c r="C242" s="30"/>
      <c r="D242" s="40"/>
      <c r="E242" s="36"/>
      <c r="F242" s="36"/>
      <c r="G242" s="40"/>
      <c r="H242" s="30"/>
      <c r="I242" s="36"/>
      <c r="J242" s="30"/>
      <c r="K242" s="30"/>
      <c r="L242" s="31"/>
      <c r="N242"/>
      <c r="O242"/>
      <c r="P242"/>
      <c r="Q242"/>
      <c r="R242"/>
      <c r="S242"/>
      <c r="T242"/>
      <c r="U242"/>
      <c r="V242"/>
      <c r="W242"/>
      <c r="X242"/>
      <c r="Y242"/>
      <c r="Z242"/>
      <c r="AA242"/>
      <c r="AB242"/>
      <c r="AC242"/>
      <c r="AD242"/>
      <c r="AE242"/>
      <c r="AF242"/>
      <c r="AG242"/>
    </row>
    <row r="243" spans="1:33" s="5" customFormat="1" x14ac:dyDescent="0.2">
      <c r="A243" s="30"/>
      <c r="B243" s="41"/>
      <c r="C243" s="30"/>
      <c r="D243" s="40"/>
      <c r="E243" s="36"/>
      <c r="F243" s="36"/>
      <c r="G243" s="40"/>
      <c r="H243" s="30"/>
      <c r="I243" s="36"/>
      <c r="J243" s="30"/>
      <c r="K243" s="30"/>
      <c r="L243" s="31"/>
      <c r="N243"/>
      <c r="O243"/>
      <c r="P243"/>
      <c r="Q243"/>
      <c r="R243"/>
      <c r="S243"/>
      <c r="T243"/>
      <c r="U243"/>
      <c r="V243"/>
      <c r="W243"/>
      <c r="X243"/>
      <c r="Y243"/>
      <c r="Z243"/>
      <c r="AA243"/>
      <c r="AB243"/>
      <c r="AC243"/>
      <c r="AD243"/>
      <c r="AE243"/>
      <c r="AF243"/>
      <c r="AG243"/>
    </row>
    <row r="244" spans="1:33" s="5" customFormat="1" x14ac:dyDescent="0.2">
      <c r="A244" s="30"/>
      <c r="B244" s="41"/>
      <c r="C244" s="30"/>
      <c r="D244" s="76" t="str">
        <f>TEXT(H240,"0.00")&amp;"*"&amp;TEXT(E24,"0.00")</f>
        <v>8.81*2.63</v>
      </c>
      <c r="E244" s="77"/>
      <c r="F244" s="78">
        <f>(H240*E24)/(E40*E16*E17)</f>
        <v>0.75537854030501084</v>
      </c>
      <c r="G244" s="40"/>
      <c r="H244" s="30"/>
      <c r="I244" s="36"/>
      <c r="J244" s="30"/>
      <c r="K244" s="30"/>
      <c r="L244" s="31" t="s">
        <v>132</v>
      </c>
      <c r="N244"/>
      <c r="O244"/>
      <c r="P244"/>
      <c r="Q244"/>
      <c r="R244"/>
      <c r="S244"/>
      <c r="T244"/>
      <c r="U244"/>
      <c r="V244"/>
      <c r="W244"/>
      <c r="X244"/>
      <c r="Y244"/>
      <c r="Z244"/>
      <c r="AA244"/>
      <c r="AB244"/>
      <c r="AC244"/>
      <c r="AD244"/>
      <c r="AE244"/>
      <c r="AF244"/>
      <c r="AG244"/>
    </row>
    <row r="245" spans="1:33" s="5" customFormat="1" x14ac:dyDescent="0.2">
      <c r="A245" s="30"/>
      <c r="B245" s="41"/>
      <c r="C245" s="30"/>
      <c r="D245" s="39" t="str">
        <f>TEXT(E40,"0.00")&amp;"*"&amp;TEXT(E16,"0.00")&amp;"*"&amp;TEXT(E17,"0.00")</f>
        <v>0.13*24.00*10.00</v>
      </c>
      <c r="E245" s="34"/>
      <c r="F245" s="36"/>
      <c r="G245" s="40"/>
      <c r="H245" s="36"/>
      <c r="I245" s="36"/>
      <c r="J245" s="30"/>
      <c r="K245" s="30"/>
      <c r="L245" s="31"/>
      <c r="N245"/>
      <c r="O245"/>
      <c r="P245"/>
      <c r="Q245"/>
      <c r="R245"/>
      <c r="S245"/>
      <c r="T245"/>
      <c r="U245"/>
      <c r="V245"/>
      <c r="W245"/>
      <c r="X245"/>
      <c r="Y245"/>
      <c r="Z245"/>
      <c r="AA245"/>
      <c r="AB245"/>
      <c r="AC245"/>
      <c r="AD245"/>
      <c r="AE245"/>
      <c r="AF245"/>
      <c r="AG245"/>
    </row>
    <row r="246" spans="1:33" s="5" customFormat="1" x14ac:dyDescent="0.2">
      <c r="A246" s="30"/>
      <c r="B246" s="41"/>
      <c r="C246" s="30"/>
      <c r="D246" s="40"/>
      <c r="E246" s="36"/>
      <c r="F246" s="36"/>
      <c r="G246" s="40"/>
      <c r="H246" s="36"/>
      <c r="I246" s="36"/>
      <c r="J246" s="30"/>
      <c r="K246" s="30"/>
      <c r="L246" s="31"/>
      <c r="N246"/>
      <c r="O246"/>
      <c r="P246"/>
      <c r="Q246"/>
      <c r="R246"/>
      <c r="S246"/>
      <c r="T246"/>
      <c r="U246"/>
      <c r="V246"/>
      <c r="W246"/>
      <c r="X246"/>
      <c r="Y246"/>
      <c r="Z246"/>
      <c r="AA246"/>
      <c r="AB246"/>
      <c r="AC246"/>
      <c r="AD246"/>
      <c r="AE246"/>
      <c r="AF246"/>
      <c r="AG246"/>
    </row>
    <row r="247" spans="1:33" s="5" customFormat="1" x14ac:dyDescent="0.2">
      <c r="A247" s="32"/>
      <c r="B247" s="30"/>
      <c r="C247" s="30"/>
      <c r="D247" s="30" t="str">
        <f>"2*"&amp;TEXT(F244, "0.00")&amp;" = "</f>
        <v xml:space="preserve">2*0.76 = </v>
      </c>
      <c r="E247" s="73">
        <f>2*F244</f>
        <v>1.5107570806100217</v>
      </c>
      <c r="F247" s="73"/>
      <c r="G247" s="36"/>
      <c r="H247" s="73"/>
      <c r="I247" s="30"/>
      <c r="J247" s="30"/>
      <c r="K247" s="30"/>
      <c r="L247" s="31" t="s">
        <v>52</v>
      </c>
      <c r="N247"/>
      <c r="O247"/>
      <c r="P247"/>
      <c r="Q247"/>
      <c r="R247"/>
      <c r="S247"/>
      <c r="T247"/>
      <c r="U247"/>
      <c r="V247"/>
      <c r="W247"/>
      <c r="X247"/>
      <c r="Y247"/>
      <c r="Z247"/>
      <c r="AA247"/>
      <c r="AB247"/>
      <c r="AC247"/>
      <c r="AD247"/>
      <c r="AE247"/>
      <c r="AF247"/>
      <c r="AG247"/>
    </row>
    <row r="248" spans="1:33" s="5" customFormat="1" x14ac:dyDescent="0.2">
      <c r="A248" s="32"/>
      <c r="B248" s="30"/>
      <c r="C248" s="30"/>
      <c r="D248" s="30"/>
      <c r="E248" s="73"/>
      <c r="F248" s="73"/>
      <c r="G248" s="36"/>
      <c r="H248" s="73"/>
      <c r="I248" s="30"/>
      <c r="J248" s="30"/>
      <c r="K248" s="30"/>
      <c r="L248" s="31"/>
      <c r="N248"/>
      <c r="O248"/>
      <c r="P248"/>
      <c r="Q248"/>
      <c r="R248"/>
      <c r="S248"/>
      <c r="T248"/>
      <c r="U248"/>
      <c r="V248"/>
      <c r="W248"/>
      <c r="X248"/>
      <c r="Y248"/>
      <c r="Z248"/>
      <c r="AA248"/>
      <c r="AB248"/>
      <c r="AC248"/>
      <c r="AD248"/>
      <c r="AE248"/>
      <c r="AF248"/>
      <c r="AG248"/>
    </row>
    <row r="249" spans="1:33" s="5" customFormat="1" x14ac:dyDescent="0.2">
      <c r="A249" s="32"/>
      <c r="B249" s="41" t="s">
        <v>16</v>
      </c>
      <c r="C249" s="30"/>
      <c r="D249" s="73">
        <f>E24</f>
        <v>2.625</v>
      </c>
      <c r="E249" s="36" t="str">
        <f>IF(D249&gt;F249,"&gt;",IF(D249&lt;F249,"&lt;","="))</f>
        <v>&gt;</v>
      </c>
      <c r="F249" s="73">
        <f>E247</f>
        <v>1.5107570806100217</v>
      </c>
      <c r="G249" s="36"/>
      <c r="H249" s="79" t="str">
        <f>IF(D249&gt;=F249,"OK","FAILS")</f>
        <v>OK</v>
      </c>
      <c r="I249" s="30"/>
      <c r="J249" s="30"/>
      <c r="K249" s="30"/>
      <c r="L249" s="31"/>
      <c r="N249"/>
      <c r="O249"/>
      <c r="P249"/>
      <c r="Q249"/>
      <c r="R249"/>
      <c r="S249"/>
      <c r="T249"/>
      <c r="U249"/>
      <c r="V249"/>
      <c r="W249"/>
      <c r="X249"/>
      <c r="Y249"/>
      <c r="Z249"/>
      <c r="AA249"/>
      <c r="AB249"/>
      <c r="AC249"/>
      <c r="AD249"/>
      <c r="AE249"/>
      <c r="AF249"/>
      <c r="AG249"/>
    </row>
    <row r="250" spans="1:33" s="5" customFormat="1" x14ac:dyDescent="0.2">
      <c r="A250" s="32"/>
      <c r="B250" s="41"/>
      <c r="C250" s="30"/>
      <c r="D250" s="73"/>
      <c r="E250" s="36"/>
      <c r="F250" s="73"/>
      <c r="G250" s="36"/>
      <c r="H250" s="73"/>
      <c r="I250" s="30"/>
      <c r="J250" s="30"/>
      <c r="K250" s="30"/>
      <c r="L250" s="31"/>
      <c r="N250"/>
      <c r="O250"/>
      <c r="P250"/>
      <c r="Q250"/>
      <c r="R250"/>
      <c r="S250"/>
      <c r="T250"/>
      <c r="U250"/>
      <c r="V250"/>
      <c r="W250"/>
      <c r="X250"/>
      <c r="Y250"/>
      <c r="Z250"/>
      <c r="AA250"/>
      <c r="AB250"/>
      <c r="AC250"/>
      <c r="AD250"/>
      <c r="AE250"/>
      <c r="AF250"/>
      <c r="AG250"/>
    </row>
    <row r="251" spans="1:33" s="5" customFormat="1" x14ac:dyDescent="0.2">
      <c r="A251" s="30" t="s">
        <v>149</v>
      </c>
      <c r="B251" s="41"/>
      <c r="C251" s="30"/>
      <c r="D251" s="73"/>
      <c r="E251" s="36"/>
      <c r="F251" s="73"/>
      <c r="G251" s="36"/>
      <c r="H251" s="73"/>
      <c r="I251" s="30"/>
      <c r="J251" s="30"/>
      <c r="K251" s="30"/>
      <c r="L251" s="31"/>
      <c r="N251"/>
      <c r="O251"/>
      <c r="P251"/>
      <c r="Q251"/>
      <c r="R251"/>
      <c r="S251"/>
      <c r="T251"/>
      <c r="U251"/>
      <c r="V251"/>
      <c r="W251"/>
      <c r="X251"/>
      <c r="Y251"/>
      <c r="Z251"/>
      <c r="AA251"/>
      <c r="AB251"/>
      <c r="AC251"/>
      <c r="AD251"/>
      <c r="AE251"/>
      <c r="AF251"/>
      <c r="AG251"/>
    </row>
    <row r="252" spans="1:33" s="5" customFormat="1" x14ac:dyDescent="0.2">
      <c r="A252" s="32"/>
      <c r="B252" s="41"/>
      <c r="C252" s="30"/>
      <c r="D252" s="73"/>
      <c r="E252" s="36"/>
      <c r="F252" s="73"/>
      <c r="G252" s="36"/>
      <c r="H252" s="73"/>
      <c r="I252" s="30"/>
      <c r="J252" s="30"/>
      <c r="K252" s="30"/>
      <c r="L252" s="31"/>
      <c r="N252"/>
      <c r="O252"/>
      <c r="P252"/>
      <c r="Q252"/>
      <c r="R252"/>
      <c r="S252"/>
      <c r="T252"/>
      <c r="U252"/>
      <c r="V252"/>
      <c r="W252"/>
      <c r="X252"/>
      <c r="Y252"/>
      <c r="Z252"/>
      <c r="AA252"/>
      <c r="AB252"/>
      <c r="AC252"/>
      <c r="AD252"/>
      <c r="AE252"/>
      <c r="AF252"/>
      <c r="AG252"/>
    </row>
    <row r="253" spans="1:33" s="5" customFormat="1" x14ac:dyDescent="0.2">
      <c r="A253" s="32"/>
      <c r="B253" s="41"/>
      <c r="C253" s="30"/>
      <c r="D253" s="73"/>
      <c r="E253" s="31" t="str">
        <f>TEXT(G151,"0.00")&amp;" - "&amp;TEXT(F244,"0.00")&amp;" ="</f>
        <v>2.89 - 0.76 =</v>
      </c>
      <c r="F253" s="73">
        <f>G151-F244</f>
        <v>2.1298214596949889</v>
      </c>
      <c r="G253" s="36"/>
      <c r="H253" s="73"/>
      <c r="I253" s="30"/>
      <c r="J253" s="30"/>
      <c r="K253" s="30"/>
      <c r="L253" s="31"/>
      <c r="N253"/>
      <c r="O253"/>
      <c r="P253"/>
      <c r="Q253"/>
      <c r="R253"/>
      <c r="S253"/>
      <c r="T253"/>
      <c r="U253"/>
      <c r="V253"/>
      <c r="W253"/>
      <c r="X253"/>
      <c r="Y253"/>
      <c r="Z253"/>
      <c r="AA253"/>
      <c r="AB253"/>
      <c r="AC253"/>
      <c r="AD253"/>
      <c r="AE253"/>
      <c r="AF253"/>
      <c r="AG253"/>
    </row>
    <row r="254" spans="1:33" s="5" customFormat="1" x14ac:dyDescent="0.2">
      <c r="A254" s="32"/>
      <c r="B254" s="41"/>
      <c r="C254" s="30"/>
      <c r="D254" s="73"/>
      <c r="E254" s="31"/>
      <c r="F254" s="73"/>
      <c r="G254" s="36"/>
      <c r="H254" s="73"/>
      <c r="I254" s="30"/>
      <c r="J254" s="30"/>
      <c r="K254" s="30"/>
      <c r="L254" s="31"/>
      <c r="N254"/>
      <c r="O254"/>
      <c r="P254"/>
      <c r="Q254"/>
      <c r="R254"/>
      <c r="S254"/>
      <c r="T254"/>
      <c r="U254"/>
      <c r="V254"/>
      <c r="W254"/>
      <c r="X254"/>
      <c r="Y254"/>
      <c r="Z254"/>
      <c r="AA254"/>
      <c r="AB254"/>
      <c r="AC254"/>
      <c r="AD254"/>
      <c r="AE254"/>
      <c r="AF254"/>
      <c r="AG254"/>
    </row>
    <row r="255" spans="1:33" s="5" customFormat="1" x14ac:dyDescent="0.2">
      <c r="A255" s="44" t="s">
        <v>195</v>
      </c>
      <c r="B255" s="44"/>
      <c r="C255" s="44"/>
      <c r="D255" s="44"/>
      <c r="E255" s="44"/>
      <c r="F255" s="44"/>
      <c r="G255" s="44"/>
      <c r="H255" s="44"/>
      <c r="I255" s="44"/>
      <c r="J255" s="44"/>
      <c r="K255" s="44"/>
      <c r="L255" s="44"/>
      <c r="N255"/>
      <c r="O255"/>
      <c r="P255"/>
      <c r="Q255"/>
      <c r="R255"/>
      <c r="S255"/>
      <c r="T255"/>
      <c r="U255"/>
      <c r="V255"/>
      <c r="W255"/>
      <c r="X255"/>
      <c r="Y255"/>
      <c r="Z255"/>
      <c r="AA255"/>
      <c r="AB255"/>
      <c r="AC255"/>
      <c r="AD255"/>
      <c r="AE255"/>
      <c r="AF255"/>
      <c r="AG255"/>
    </row>
    <row r="256" spans="1:33" s="5" customFormat="1" x14ac:dyDescent="0.2">
      <c r="A256" s="44"/>
      <c r="B256" s="44"/>
      <c r="C256" s="44"/>
      <c r="D256" s="44"/>
      <c r="E256" s="44"/>
      <c r="F256" s="44"/>
      <c r="G256" s="44"/>
      <c r="H256" s="44"/>
      <c r="I256" s="44"/>
      <c r="J256" s="44"/>
      <c r="K256" s="44"/>
      <c r="L256" s="44"/>
      <c r="N256"/>
      <c r="O256"/>
      <c r="P256"/>
      <c r="Q256"/>
      <c r="R256"/>
      <c r="S256"/>
      <c r="T256"/>
      <c r="U256"/>
      <c r="V256"/>
      <c r="W256"/>
      <c r="X256"/>
      <c r="Y256"/>
      <c r="Z256"/>
      <c r="AA256"/>
      <c r="AB256"/>
      <c r="AC256"/>
      <c r="AD256"/>
      <c r="AE256"/>
      <c r="AF256"/>
      <c r="AG256"/>
    </row>
    <row r="257" spans="1:33" s="5" customFormat="1" x14ac:dyDescent="0.2">
      <c r="A257" s="32"/>
      <c r="B257" s="41"/>
      <c r="C257" s="30"/>
      <c r="D257" s="73"/>
      <c r="E257" s="36"/>
      <c r="F257" s="73"/>
      <c r="G257" s="36"/>
      <c r="H257" s="73"/>
      <c r="I257" s="30"/>
      <c r="J257" s="30"/>
      <c r="K257" s="30"/>
      <c r="L257" s="31"/>
      <c r="N257"/>
      <c r="O257"/>
      <c r="P257"/>
      <c r="Q257"/>
      <c r="R257"/>
      <c r="S257"/>
      <c r="T257"/>
      <c r="U257"/>
      <c r="V257"/>
      <c r="W257"/>
      <c r="X257"/>
      <c r="Y257"/>
      <c r="Z257"/>
      <c r="AA257"/>
      <c r="AB257"/>
      <c r="AC257"/>
      <c r="AD257"/>
      <c r="AE257"/>
      <c r="AF257"/>
      <c r="AG257"/>
    </row>
    <row r="258" spans="1:33" s="5" customFormat="1" x14ac:dyDescent="0.2">
      <c r="A258" s="29" t="s">
        <v>126</v>
      </c>
      <c r="B258" s="80"/>
      <c r="C258" s="80"/>
      <c r="D258" s="80"/>
      <c r="E258" s="80"/>
      <c r="F258" s="80"/>
      <c r="G258" s="80"/>
      <c r="H258" s="80"/>
      <c r="I258" s="80"/>
      <c r="J258" s="80"/>
      <c r="K258" s="80"/>
      <c r="L258" s="31" t="s">
        <v>120</v>
      </c>
      <c r="N258"/>
      <c r="O258"/>
      <c r="P258"/>
      <c r="Q258"/>
      <c r="R258"/>
      <c r="S258"/>
      <c r="T258"/>
      <c r="U258"/>
      <c r="V258"/>
      <c r="W258"/>
      <c r="X258"/>
      <c r="Y258"/>
      <c r="Z258"/>
      <c r="AA258"/>
      <c r="AB258"/>
      <c r="AC258"/>
      <c r="AD258"/>
      <c r="AE258"/>
      <c r="AF258"/>
      <c r="AG258"/>
    </row>
    <row r="259" spans="1:33" s="5" customFormat="1" x14ac:dyDescent="0.2">
      <c r="A259" s="29"/>
      <c r="B259" s="80"/>
      <c r="C259" s="80"/>
      <c r="D259" s="80"/>
      <c r="E259" s="80"/>
      <c r="F259" s="80"/>
      <c r="G259" s="80"/>
      <c r="H259" s="80"/>
      <c r="I259" s="80"/>
      <c r="J259" s="80"/>
      <c r="K259" s="80"/>
      <c r="L259" s="31"/>
      <c r="N259"/>
      <c r="O259"/>
      <c r="P259"/>
      <c r="Q259"/>
      <c r="R259"/>
      <c r="S259"/>
      <c r="T259"/>
      <c r="U259"/>
      <c r="V259"/>
      <c r="W259"/>
      <c r="X259"/>
      <c r="Y259"/>
      <c r="Z259"/>
      <c r="AA259"/>
      <c r="AB259"/>
      <c r="AC259"/>
      <c r="AD259"/>
      <c r="AE259"/>
      <c r="AF259"/>
      <c r="AG259"/>
    </row>
    <row r="260" spans="1:33" s="5" customFormat="1" x14ac:dyDescent="0.2">
      <c r="A260" s="37" t="s">
        <v>22</v>
      </c>
      <c r="B260" s="81"/>
      <c r="C260" s="81"/>
      <c r="D260" s="81"/>
      <c r="E260" s="81"/>
      <c r="F260" s="81"/>
      <c r="G260" s="81"/>
      <c r="H260" s="81"/>
      <c r="I260" s="81"/>
      <c r="J260" s="81"/>
      <c r="K260" s="81"/>
      <c r="L260" s="81"/>
      <c r="N260"/>
      <c r="O260"/>
      <c r="P260"/>
      <c r="Q260"/>
      <c r="R260"/>
      <c r="S260"/>
      <c r="T260"/>
      <c r="U260"/>
      <c r="V260"/>
      <c r="W260"/>
      <c r="X260"/>
      <c r="Y260"/>
      <c r="Z260"/>
      <c r="AA260"/>
      <c r="AB260"/>
      <c r="AC260"/>
      <c r="AD260"/>
      <c r="AE260"/>
      <c r="AF260"/>
      <c r="AG260"/>
    </row>
    <row r="261" spans="1:33" s="5" customFormat="1" x14ac:dyDescent="0.2">
      <c r="A261" s="44" t="s">
        <v>181</v>
      </c>
      <c r="B261" s="44"/>
      <c r="C261" s="44"/>
      <c r="D261" s="44"/>
      <c r="E261" s="44"/>
      <c r="F261" s="44"/>
      <c r="G261" s="44"/>
      <c r="H261" s="44"/>
      <c r="I261" s="44"/>
      <c r="J261" s="44"/>
      <c r="K261" s="44"/>
      <c r="L261" s="44"/>
      <c r="N261"/>
      <c r="O261"/>
      <c r="P261"/>
      <c r="Q261"/>
      <c r="R261"/>
      <c r="S261"/>
      <c r="T261"/>
      <c r="U261"/>
      <c r="V261"/>
      <c r="W261"/>
      <c r="X261"/>
      <c r="Y261"/>
      <c r="Z261"/>
      <c r="AA261"/>
      <c r="AB261"/>
      <c r="AC261"/>
      <c r="AD261"/>
      <c r="AE261"/>
      <c r="AF261"/>
      <c r="AG261"/>
    </row>
    <row r="262" spans="1:33" s="5" customFormat="1" x14ac:dyDescent="0.2">
      <c r="A262" s="44"/>
      <c r="B262" s="44"/>
      <c r="C262" s="44"/>
      <c r="D262" s="44"/>
      <c r="E262" s="44"/>
      <c r="F262" s="44"/>
      <c r="G262" s="44"/>
      <c r="H262" s="44"/>
      <c r="I262" s="44"/>
      <c r="J262" s="44"/>
      <c r="K262" s="44"/>
      <c r="L262" s="44"/>
      <c r="N262"/>
      <c r="O262"/>
      <c r="P262"/>
      <c r="Q262"/>
      <c r="R262"/>
      <c r="S262"/>
      <c r="T262"/>
      <c r="U262"/>
      <c r="V262"/>
      <c r="W262"/>
      <c r="X262"/>
      <c r="Y262"/>
      <c r="Z262"/>
      <c r="AA262"/>
      <c r="AB262"/>
      <c r="AC262"/>
      <c r="AD262"/>
      <c r="AE262"/>
      <c r="AF262"/>
      <c r="AG262"/>
    </row>
    <row r="263" spans="1:33" s="5" customFormat="1" ht="12.75" customHeight="1" x14ac:dyDescent="0.2">
      <c r="A263" s="37"/>
      <c r="B263" s="80"/>
      <c r="C263" s="80"/>
      <c r="D263" s="80"/>
      <c r="E263" s="80"/>
      <c r="F263" s="80"/>
      <c r="G263" s="80"/>
      <c r="H263" s="80"/>
      <c r="I263" s="80"/>
      <c r="J263" s="80"/>
      <c r="K263" s="80"/>
      <c r="L263" s="80"/>
      <c r="N263"/>
      <c r="O263"/>
      <c r="P263"/>
      <c r="Q263"/>
      <c r="R263"/>
      <c r="S263"/>
      <c r="T263"/>
      <c r="U263"/>
      <c r="V263"/>
      <c r="W263"/>
      <c r="X263"/>
      <c r="Y263"/>
      <c r="Z263"/>
      <c r="AA263"/>
      <c r="AB263"/>
      <c r="AC263"/>
      <c r="AD263"/>
      <c r="AE263"/>
      <c r="AF263"/>
      <c r="AG263"/>
    </row>
    <row r="264" spans="1:33" s="5" customFormat="1" x14ac:dyDescent="0.2">
      <c r="A264" s="82"/>
      <c r="B264" s="80"/>
      <c r="C264" s="80"/>
      <c r="D264" s="83"/>
      <c r="E264" s="83"/>
      <c r="F264" s="80"/>
      <c r="G264" s="80"/>
      <c r="H264" s="80"/>
      <c r="I264" s="80"/>
      <c r="J264" s="80"/>
      <c r="K264" s="80"/>
      <c r="L264" s="31" t="s">
        <v>19</v>
      </c>
      <c r="N264"/>
      <c r="O264"/>
      <c r="P264"/>
      <c r="Q264"/>
      <c r="R264"/>
      <c r="S264"/>
      <c r="T264"/>
      <c r="U264"/>
      <c r="V264"/>
      <c r="W264"/>
      <c r="X264"/>
      <c r="Y264"/>
      <c r="Z264"/>
      <c r="AA264"/>
      <c r="AB264"/>
      <c r="AC264"/>
      <c r="AD264"/>
      <c r="AE264"/>
      <c r="AF264"/>
      <c r="AG264"/>
    </row>
    <row r="265" spans="1:33" s="5" customFormat="1" x14ac:dyDescent="0.2">
      <c r="A265" s="84"/>
      <c r="B265" s="80"/>
      <c r="C265" s="80"/>
      <c r="D265" s="85"/>
      <c r="E265" s="80"/>
      <c r="F265" s="80"/>
      <c r="G265" s="80"/>
      <c r="H265" s="86"/>
      <c r="I265" s="80"/>
      <c r="J265" s="80"/>
      <c r="K265" s="80"/>
      <c r="L265" s="87"/>
      <c r="N265"/>
      <c r="O265"/>
      <c r="P265"/>
      <c r="Q265"/>
      <c r="R265"/>
      <c r="S265"/>
      <c r="T265"/>
      <c r="U265"/>
      <c r="V265"/>
      <c r="W265"/>
      <c r="X265"/>
      <c r="Y265"/>
      <c r="Z265"/>
      <c r="AA265"/>
      <c r="AB265"/>
      <c r="AC265"/>
      <c r="AD265"/>
      <c r="AE265"/>
      <c r="AF265"/>
      <c r="AG265"/>
    </row>
    <row r="266" spans="1:33" s="5" customFormat="1" x14ac:dyDescent="0.2">
      <c r="A266" s="82"/>
      <c r="B266" s="80"/>
      <c r="C266" s="80"/>
      <c r="D266" s="85"/>
      <c r="E266" s="80"/>
      <c r="F266" s="80"/>
      <c r="G266" s="80"/>
      <c r="H266" s="86"/>
      <c r="I266" s="80"/>
      <c r="J266" s="80"/>
      <c r="K266" s="80"/>
      <c r="L266" s="31" t="s">
        <v>20</v>
      </c>
      <c r="N266"/>
      <c r="O266"/>
      <c r="P266"/>
      <c r="Q266"/>
      <c r="R266"/>
      <c r="S266"/>
      <c r="T266"/>
      <c r="U266"/>
      <c r="V266"/>
      <c r="W266"/>
      <c r="X266"/>
      <c r="Y266"/>
      <c r="Z266"/>
      <c r="AA266"/>
      <c r="AB266"/>
      <c r="AC266"/>
      <c r="AD266"/>
      <c r="AE266"/>
      <c r="AF266"/>
      <c r="AG266"/>
    </row>
    <row r="267" spans="1:33" s="5" customFormat="1" x14ac:dyDescent="0.2">
      <c r="A267" s="82"/>
      <c r="B267" s="80"/>
      <c r="C267" s="80"/>
      <c r="D267" s="85"/>
      <c r="E267" s="80"/>
      <c r="F267" s="80"/>
      <c r="G267" s="80"/>
      <c r="H267" s="86"/>
      <c r="I267" s="80"/>
      <c r="J267" s="80"/>
      <c r="K267" s="80"/>
      <c r="L267" s="87"/>
      <c r="N267"/>
      <c r="O267"/>
      <c r="P267"/>
      <c r="Q267"/>
      <c r="R267"/>
      <c r="S267"/>
      <c r="T267"/>
      <c r="U267"/>
      <c r="V267"/>
      <c r="W267"/>
      <c r="X267"/>
      <c r="Y267"/>
      <c r="Z267"/>
      <c r="AA267"/>
      <c r="AB267"/>
      <c r="AC267"/>
      <c r="AD267"/>
      <c r="AE267"/>
      <c r="AF267"/>
      <c r="AG267"/>
    </row>
    <row r="268" spans="1:33" s="5" customFormat="1" x14ac:dyDescent="0.2">
      <c r="A268" s="82"/>
      <c r="B268" s="80"/>
      <c r="C268" s="80"/>
      <c r="D268" s="30" t="s">
        <v>175</v>
      </c>
      <c r="E268" s="80"/>
      <c r="F268" s="80"/>
      <c r="G268" s="80"/>
      <c r="H268" s="86"/>
      <c r="I268" s="80"/>
      <c r="J268" s="80"/>
      <c r="K268" s="80"/>
      <c r="L268" s="87"/>
      <c r="N268"/>
      <c r="O268"/>
      <c r="P268"/>
      <c r="Q268"/>
      <c r="R268"/>
      <c r="S268"/>
      <c r="T268"/>
      <c r="U268"/>
      <c r="V268"/>
      <c r="W268"/>
      <c r="X268"/>
      <c r="Y268"/>
      <c r="Z268"/>
      <c r="AA268"/>
      <c r="AB268"/>
      <c r="AC268"/>
      <c r="AD268"/>
      <c r="AE268"/>
      <c r="AF268"/>
      <c r="AG268"/>
    </row>
    <row r="269" spans="1:33" s="5" customFormat="1" x14ac:dyDescent="0.2">
      <c r="A269" s="82"/>
      <c r="B269" s="80"/>
      <c r="C269" s="80"/>
      <c r="D269" s="85"/>
      <c r="E269" s="80"/>
      <c r="F269" s="80"/>
      <c r="G269" s="80"/>
      <c r="H269" s="86"/>
      <c r="I269" s="80"/>
      <c r="J269" s="80"/>
      <c r="K269" s="80"/>
      <c r="L269" s="87"/>
      <c r="N269"/>
      <c r="O269"/>
      <c r="P269"/>
      <c r="Q269"/>
      <c r="R269"/>
      <c r="S269"/>
      <c r="T269"/>
      <c r="U269"/>
      <c r="V269"/>
      <c r="W269"/>
      <c r="X269"/>
      <c r="Y269"/>
      <c r="Z269"/>
      <c r="AA269"/>
      <c r="AB269"/>
      <c r="AC269"/>
      <c r="AD269"/>
      <c r="AE269"/>
      <c r="AF269"/>
      <c r="AG269"/>
    </row>
    <row r="270" spans="1:33" s="5" customFormat="1" x14ac:dyDescent="0.2">
      <c r="A270" s="82"/>
      <c r="B270" s="80"/>
      <c r="C270" s="80"/>
      <c r="D270" s="85"/>
      <c r="E270" s="35" t="str">
        <f>TEXT(G168,"0.00")&amp;" / "&amp;"(4.8*"&amp;TEXT(E40,"0.000")&amp;"*"&amp;TEXT(I157,"0.00")&amp;"^2)"&amp;" ="</f>
        <v>0.25 / (4.8*0.128*7.06^2) =</v>
      </c>
      <c r="F270" s="35"/>
      <c r="G270" s="35"/>
      <c r="H270" s="88">
        <f>G168/(4.8*E40*I157^2)</f>
        <v>8.1983024691358024E-3</v>
      </c>
      <c r="I270" s="80"/>
      <c r="J270" s="80"/>
      <c r="K270" s="80"/>
      <c r="L270" s="31" t="s">
        <v>21</v>
      </c>
      <c r="N270"/>
      <c r="O270"/>
      <c r="P270"/>
      <c r="Q270"/>
      <c r="R270"/>
      <c r="S270"/>
      <c r="T270"/>
      <c r="U270"/>
      <c r="V270"/>
      <c r="W270"/>
      <c r="X270"/>
      <c r="Y270"/>
      <c r="Z270"/>
      <c r="AA270"/>
      <c r="AB270"/>
      <c r="AC270"/>
      <c r="AD270"/>
      <c r="AE270"/>
      <c r="AF270"/>
      <c r="AG270"/>
    </row>
    <row r="271" spans="1:33" s="5" customFormat="1" x14ac:dyDescent="0.2">
      <c r="A271" s="82"/>
      <c r="B271" s="80"/>
      <c r="C271" s="80"/>
      <c r="D271" s="80"/>
      <c r="E271" s="35"/>
      <c r="F271" s="35"/>
      <c r="G271" s="35"/>
      <c r="H271" s="88"/>
      <c r="I271" s="80"/>
      <c r="J271" s="80"/>
      <c r="K271" s="80"/>
      <c r="L271" s="87"/>
      <c r="N271"/>
      <c r="O271"/>
      <c r="P271"/>
      <c r="Q271"/>
      <c r="R271"/>
      <c r="S271"/>
      <c r="T271"/>
      <c r="U271"/>
      <c r="V271"/>
      <c r="W271"/>
      <c r="X271"/>
      <c r="Y271"/>
      <c r="Z271"/>
      <c r="AA271"/>
      <c r="AB271"/>
      <c r="AC271"/>
      <c r="AD271"/>
      <c r="AE271"/>
      <c r="AF271"/>
      <c r="AG271"/>
    </row>
    <row r="272" spans="1:33" s="5" customFormat="1" x14ac:dyDescent="0.2">
      <c r="A272" s="82"/>
      <c r="B272" s="80"/>
      <c r="C272" s="80"/>
      <c r="D272" s="80"/>
      <c r="E272" s="30"/>
      <c r="F272" s="30"/>
      <c r="G272" s="30"/>
      <c r="H272" s="63"/>
      <c r="I272" s="80"/>
      <c r="J272" s="80"/>
      <c r="K272" s="80"/>
      <c r="L272" s="87"/>
      <c r="N272"/>
      <c r="O272"/>
      <c r="P272"/>
      <c r="Q272"/>
      <c r="R272"/>
      <c r="S272"/>
      <c r="T272"/>
      <c r="U272"/>
      <c r="V272"/>
      <c r="W272"/>
      <c r="X272"/>
      <c r="Y272"/>
      <c r="Z272"/>
      <c r="AA272"/>
      <c r="AB272"/>
      <c r="AC272"/>
      <c r="AD272"/>
      <c r="AE272"/>
      <c r="AF272"/>
      <c r="AG272"/>
    </row>
    <row r="273" spans="1:33" s="5" customFormat="1" x14ac:dyDescent="0.2">
      <c r="A273" s="82"/>
      <c r="B273" s="80"/>
      <c r="C273" s="80"/>
      <c r="D273" s="34" t="str">
        <f>TEXT(H270,"0.000")&amp;"*"&amp;TEXT(E24,"0.000")&amp;" ="</f>
        <v>0.008*2.625 =</v>
      </c>
      <c r="E273" s="34"/>
      <c r="F273" s="89">
        <f>H270*E24</f>
        <v>2.1520543981481483E-2</v>
      </c>
      <c r="G273" s="90"/>
      <c r="H273" s="91"/>
      <c r="I273" s="91"/>
      <c r="J273" s="80"/>
      <c r="K273" s="80"/>
      <c r="L273" s="87"/>
      <c r="N273"/>
      <c r="O273"/>
      <c r="P273"/>
      <c r="Q273"/>
      <c r="R273"/>
      <c r="S273"/>
      <c r="T273"/>
      <c r="U273"/>
      <c r="V273"/>
      <c r="W273"/>
      <c r="X273"/>
      <c r="Y273"/>
      <c r="Z273"/>
      <c r="AA273"/>
      <c r="AB273"/>
      <c r="AC273"/>
      <c r="AD273"/>
      <c r="AE273"/>
      <c r="AF273"/>
      <c r="AG273"/>
    </row>
    <row r="274" spans="1:33" s="5" customFormat="1" x14ac:dyDescent="0.2">
      <c r="A274" s="82"/>
      <c r="B274" s="41"/>
      <c r="C274" s="80"/>
      <c r="D274" s="80"/>
      <c r="E274" s="80"/>
      <c r="F274" s="80"/>
      <c r="G274" s="80"/>
      <c r="H274" s="80"/>
      <c r="I274" s="80"/>
      <c r="J274" s="80"/>
      <c r="K274" s="80"/>
      <c r="L274" s="87"/>
      <c r="N274"/>
      <c r="O274"/>
      <c r="P274"/>
      <c r="Q274"/>
      <c r="R274"/>
      <c r="S274"/>
      <c r="T274"/>
      <c r="U274"/>
      <c r="V274"/>
      <c r="W274"/>
      <c r="X274"/>
      <c r="Y274"/>
      <c r="Z274"/>
      <c r="AA274"/>
      <c r="AB274"/>
      <c r="AC274"/>
      <c r="AD274"/>
      <c r="AE274"/>
      <c r="AF274"/>
      <c r="AG274"/>
    </row>
    <row r="275" spans="1:33" s="5" customFormat="1" x14ac:dyDescent="0.2">
      <c r="A275" s="82"/>
      <c r="B275" s="41" t="s">
        <v>16</v>
      </c>
      <c r="C275" s="80"/>
      <c r="D275" s="80"/>
      <c r="E275" s="92"/>
      <c r="F275" s="92">
        <f>F273</f>
        <v>2.1520543981481483E-2</v>
      </c>
      <c r="G275" s="36" t="str">
        <f>IF(F275&gt;H275,"&gt;",IF(F275&lt;H275,"&lt;","="))</f>
        <v>&lt;</v>
      </c>
      <c r="H275" s="91">
        <v>0.125</v>
      </c>
      <c r="I275" s="43" t="str">
        <f>IF(F275&lt;=H275,"OK","FAILS")</f>
        <v>OK</v>
      </c>
      <c r="J275" s="80"/>
      <c r="K275" s="80"/>
      <c r="L275" s="87"/>
      <c r="N275"/>
      <c r="O275"/>
      <c r="P275"/>
      <c r="Q275"/>
      <c r="R275"/>
      <c r="S275"/>
      <c r="T275"/>
      <c r="U275"/>
      <c r="V275"/>
      <c r="W275"/>
      <c r="X275"/>
      <c r="Y275"/>
      <c r="Z275"/>
      <c r="AA275"/>
      <c r="AB275"/>
      <c r="AC275"/>
      <c r="AD275"/>
      <c r="AE275"/>
      <c r="AF275"/>
      <c r="AG275"/>
    </row>
    <row r="276" spans="1:33" s="5" customFormat="1" x14ac:dyDescent="0.2">
      <c r="A276" s="82"/>
      <c r="B276" s="30"/>
      <c r="C276" s="80"/>
      <c r="D276" s="80"/>
      <c r="E276" s="80"/>
      <c r="F276" s="80"/>
      <c r="G276" s="80"/>
      <c r="H276" s="80"/>
      <c r="I276" s="80"/>
      <c r="J276" s="80"/>
      <c r="K276" s="80"/>
      <c r="L276" s="87"/>
      <c r="N276"/>
      <c r="O276"/>
      <c r="P276"/>
      <c r="Q276"/>
      <c r="R276"/>
      <c r="S276"/>
      <c r="T276"/>
      <c r="U276"/>
      <c r="V276"/>
      <c r="W276"/>
      <c r="X276"/>
      <c r="Y276"/>
      <c r="Z276"/>
      <c r="AA276"/>
      <c r="AB276"/>
      <c r="AC276"/>
      <c r="AD276"/>
      <c r="AE276"/>
      <c r="AF276"/>
      <c r="AG276"/>
    </row>
    <row r="277" spans="1:33" s="5" customFormat="1" x14ac:dyDescent="0.2">
      <c r="A277" s="37" t="s">
        <v>117</v>
      </c>
      <c r="B277" s="80"/>
      <c r="C277" s="80"/>
      <c r="D277" s="80"/>
      <c r="E277" s="80"/>
      <c r="F277" s="80"/>
      <c r="G277" s="80"/>
      <c r="H277" s="80"/>
      <c r="I277" s="80"/>
      <c r="J277" s="80"/>
      <c r="K277" s="80"/>
      <c r="L277" s="87"/>
      <c r="N277"/>
      <c r="O277"/>
      <c r="P277"/>
      <c r="Q277"/>
      <c r="R277"/>
      <c r="S277"/>
      <c r="T277"/>
      <c r="U277"/>
      <c r="V277"/>
      <c r="W277"/>
      <c r="X277"/>
      <c r="Y277"/>
      <c r="Z277"/>
      <c r="AA277"/>
      <c r="AB277"/>
      <c r="AC277"/>
      <c r="AD277"/>
      <c r="AE277"/>
      <c r="AF277"/>
      <c r="AG277"/>
    </row>
    <row r="278" spans="1:33" s="5" customFormat="1" x14ac:dyDescent="0.2">
      <c r="A278" s="44" t="s">
        <v>127</v>
      </c>
      <c r="B278" s="44"/>
      <c r="C278" s="44"/>
      <c r="D278" s="44"/>
      <c r="E278" s="44"/>
      <c r="F278" s="44"/>
      <c r="G278" s="44"/>
      <c r="H278" s="44"/>
      <c r="I278" s="44"/>
      <c r="J278" s="44"/>
      <c r="K278" s="44"/>
      <c r="L278" s="44"/>
      <c r="N278"/>
      <c r="O278"/>
      <c r="P278"/>
      <c r="Q278"/>
      <c r="R278"/>
      <c r="S278"/>
      <c r="T278"/>
      <c r="U278"/>
      <c r="V278"/>
      <c r="W278"/>
      <c r="X278"/>
      <c r="Y278"/>
      <c r="Z278"/>
      <c r="AA278"/>
      <c r="AB278"/>
      <c r="AC278"/>
      <c r="AD278"/>
      <c r="AE278"/>
      <c r="AF278"/>
      <c r="AG278"/>
    </row>
    <row r="279" spans="1:33" s="5" customFormat="1" x14ac:dyDescent="0.2">
      <c r="A279" s="44"/>
      <c r="B279" s="44"/>
      <c r="C279" s="44"/>
      <c r="D279" s="44"/>
      <c r="E279" s="44"/>
      <c r="F279" s="44"/>
      <c r="G279" s="44"/>
      <c r="H279" s="44"/>
      <c r="I279" s="44"/>
      <c r="J279" s="44"/>
      <c r="K279" s="44"/>
      <c r="L279" s="44"/>
      <c r="N279"/>
      <c r="O279"/>
      <c r="P279"/>
      <c r="Q279"/>
      <c r="R279"/>
      <c r="S279"/>
      <c r="T279"/>
      <c r="U279"/>
      <c r="V279"/>
      <c r="W279"/>
      <c r="X279"/>
      <c r="Y279"/>
      <c r="Z279"/>
      <c r="AA279"/>
      <c r="AB279"/>
      <c r="AC279"/>
      <c r="AD279"/>
      <c r="AE279"/>
      <c r="AF279"/>
      <c r="AG279"/>
    </row>
    <row r="280" spans="1:33" s="5" customFormat="1" x14ac:dyDescent="0.2">
      <c r="A280" s="55"/>
      <c r="B280" s="55"/>
      <c r="C280" s="55"/>
      <c r="D280" s="55"/>
      <c r="E280" s="55"/>
      <c r="F280" s="55"/>
      <c r="G280" s="55"/>
      <c r="H280" s="55"/>
      <c r="I280" s="55"/>
      <c r="J280" s="55"/>
      <c r="K280" s="55"/>
      <c r="L280" s="55"/>
      <c r="N280"/>
      <c r="O280"/>
      <c r="P280"/>
      <c r="Q280"/>
      <c r="R280"/>
      <c r="S280"/>
      <c r="T280"/>
      <c r="U280"/>
      <c r="V280"/>
      <c r="W280"/>
      <c r="X280"/>
      <c r="Y280"/>
      <c r="Z280"/>
      <c r="AA280"/>
      <c r="AB280"/>
      <c r="AC280"/>
      <c r="AD280"/>
      <c r="AE280"/>
      <c r="AF280"/>
      <c r="AG280"/>
    </row>
    <row r="281" spans="1:33" s="5" customFormat="1" x14ac:dyDescent="0.2">
      <c r="A281" s="82"/>
      <c r="B281" s="93" t="s">
        <v>121</v>
      </c>
      <c r="C281" s="80"/>
      <c r="D281" s="80"/>
      <c r="E281" s="80"/>
      <c r="F281" s="80"/>
      <c r="G281" s="80"/>
      <c r="H281" s="80"/>
      <c r="I281" s="80"/>
      <c r="J281" s="80"/>
      <c r="K281" s="80"/>
      <c r="L281" s="87"/>
      <c r="N281"/>
      <c r="O281"/>
      <c r="P281"/>
      <c r="Q281"/>
      <c r="R281"/>
      <c r="S281"/>
      <c r="T281"/>
      <c r="U281"/>
      <c r="V281"/>
      <c r="W281"/>
      <c r="X281"/>
      <c r="Y281"/>
      <c r="Z281"/>
      <c r="AA281"/>
      <c r="AB281"/>
      <c r="AC281"/>
      <c r="AD281"/>
      <c r="AE281"/>
      <c r="AF281"/>
      <c r="AG281"/>
    </row>
    <row r="282" spans="1:33" s="5" customFormat="1" x14ac:dyDescent="0.2">
      <c r="A282" s="82"/>
      <c r="B282" s="80"/>
      <c r="C282" s="80"/>
      <c r="D282" s="80"/>
      <c r="E282" s="80"/>
      <c r="F282" s="80"/>
      <c r="G282" s="80"/>
      <c r="H282" s="80"/>
      <c r="I282" s="80"/>
      <c r="J282" s="80"/>
      <c r="K282" s="80"/>
      <c r="L282" s="31" t="s">
        <v>119</v>
      </c>
      <c r="N282"/>
      <c r="O282"/>
      <c r="P282"/>
      <c r="Q282"/>
      <c r="R282"/>
      <c r="S282"/>
      <c r="T282"/>
      <c r="U282"/>
      <c r="V282"/>
      <c r="W282"/>
      <c r="X282"/>
      <c r="Y282"/>
      <c r="Z282"/>
      <c r="AA282"/>
      <c r="AB282"/>
      <c r="AC282"/>
      <c r="AD282"/>
      <c r="AE282"/>
      <c r="AF282"/>
      <c r="AG282"/>
    </row>
    <row r="283" spans="1:33" s="5" customFormat="1" x14ac:dyDescent="0.2">
      <c r="A283" s="82"/>
      <c r="B283" s="80"/>
      <c r="C283" s="80"/>
      <c r="D283" s="80"/>
      <c r="E283" s="80"/>
      <c r="F283" s="80"/>
      <c r="G283" s="80"/>
      <c r="H283" s="80"/>
      <c r="I283" s="80"/>
      <c r="J283" s="80"/>
      <c r="K283" s="80"/>
      <c r="L283" s="87"/>
      <c r="N283"/>
      <c r="O283"/>
      <c r="P283"/>
      <c r="Q283"/>
      <c r="R283"/>
      <c r="S283"/>
      <c r="T283"/>
      <c r="U283"/>
      <c r="V283"/>
      <c r="W283"/>
      <c r="X283"/>
      <c r="Y283"/>
      <c r="Z283"/>
      <c r="AA283"/>
      <c r="AB283"/>
      <c r="AC283"/>
      <c r="AD283"/>
      <c r="AE283"/>
      <c r="AF283"/>
      <c r="AG283"/>
    </row>
    <row r="284" spans="1:33" s="5" customFormat="1" x14ac:dyDescent="0.2">
      <c r="A284" s="82"/>
      <c r="B284" s="80"/>
      <c r="C284" s="80"/>
      <c r="D284" s="30" t="s">
        <v>198</v>
      </c>
      <c r="E284" s="80"/>
      <c r="F284" s="80"/>
      <c r="G284" s="80"/>
      <c r="H284" s="80"/>
      <c r="I284" s="80"/>
      <c r="J284" s="80"/>
      <c r="K284" s="80"/>
      <c r="L284" s="87"/>
      <c r="N284"/>
      <c r="O284"/>
      <c r="P284"/>
      <c r="Q284"/>
      <c r="R284"/>
      <c r="S284"/>
      <c r="T284"/>
      <c r="U284"/>
      <c r="V284"/>
      <c r="W284"/>
      <c r="X284"/>
      <c r="Y284"/>
      <c r="Z284"/>
      <c r="AA284"/>
      <c r="AB284"/>
      <c r="AC284"/>
      <c r="AD284"/>
      <c r="AE284"/>
      <c r="AF284"/>
      <c r="AG284"/>
    </row>
    <row r="285" spans="1:33" s="5" customFormat="1" x14ac:dyDescent="0.2">
      <c r="A285" s="82"/>
      <c r="B285" s="80"/>
      <c r="C285" s="80"/>
      <c r="D285" s="80"/>
      <c r="E285" s="80"/>
      <c r="F285" s="80"/>
      <c r="G285" s="80"/>
      <c r="H285" s="80"/>
      <c r="I285" s="80"/>
      <c r="J285" s="80"/>
      <c r="K285" s="80"/>
      <c r="L285" s="87"/>
      <c r="N285"/>
      <c r="O285"/>
      <c r="P285"/>
      <c r="Q285"/>
      <c r="R285"/>
      <c r="S285"/>
      <c r="T285"/>
      <c r="U285"/>
      <c r="V285"/>
      <c r="W285"/>
      <c r="X285"/>
      <c r="Y285"/>
      <c r="Z285"/>
      <c r="AA285"/>
      <c r="AB285"/>
      <c r="AC285"/>
      <c r="AD285"/>
      <c r="AE285"/>
      <c r="AF285"/>
      <c r="AG285"/>
    </row>
    <row r="286" spans="1:33" s="5" customFormat="1" x14ac:dyDescent="0.2">
      <c r="A286" s="82"/>
      <c r="B286" s="80"/>
      <c r="C286" s="80"/>
      <c r="D286" s="80"/>
      <c r="E286" s="35" t="str">
        <f>TEXT(G173,"0.00")&amp;" / "&amp;"(4.8*"&amp;TEXT(E40,"0.00")&amp;"*"&amp;TEXT(I157,"0.00")&amp;"^2)"&amp;" ="</f>
        <v>0.83 / (4.8*0.13*7.06^2) =</v>
      </c>
      <c r="F286" s="35"/>
      <c r="G286" s="35"/>
      <c r="H286" s="88">
        <f>G173/(4.8*E40*I157^2)</f>
        <v>2.7327674897119344E-2</v>
      </c>
      <c r="I286" s="80"/>
      <c r="J286" s="80"/>
      <c r="K286" s="80"/>
      <c r="L286" s="31" t="s">
        <v>21</v>
      </c>
      <c r="N286"/>
      <c r="O286"/>
      <c r="P286"/>
      <c r="Q286"/>
      <c r="R286"/>
      <c r="S286"/>
      <c r="T286"/>
      <c r="U286"/>
      <c r="V286"/>
      <c r="W286"/>
      <c r="X286"/>
      <c r="Y286"/>
      <c r="Z286"/>
      <c r="AA286"/>
      <c r="AB286"/>
      <c r="AC286"/>
      <c r="AD286"/>
      <c r="AE286"/>
      <c r="AF286"/>
      <c r="AG286"/>
    </row>
    <row r="287" spans="1:33" s="5" customFormat="1" x14ac:dyDescent="0.2">
      <c r="A287" s="82"/>
      <c r="B287" s="80"/>
      <c r="C287" s="80"/>
      <c r="D287" s="80"/>
      <c r="E287" s="35"/>
      <c r="F287" s="35"/>
      <c r="G287" s="35"/>
      <c r="H287" s="88"/>
      <c r="I287" s="80"/>
      <c r="J287" s="80"/>
      <c r="K287" s="80"/>
      <c r="L287" s="87"/>
      <c r="N287"/>
      <c r="O287"/>
      <c r="P287"/>
      <c r="Q287"/>
      <c r="R287"/>
      <c r="S287"/>
      <c r="T287"/>
      <c r="U287"/>
      <c r="V287"/>
      <c r="W287"/>
      <c r="X287"/>
      <c r="Y287"/>
      <c r="Z287"/>
      <c r="AA287"/>
      <c r="AB287"/>
      <c r="AC287"/>
      <c r="AD287"/>
      <c r="AE287"/>
      <c r="AF287"/>
      <c r="AG287"/>
    </row>
    <row r="288" spans="1:33" s="5" customFormat="1" x14ac:dyDescent="0.2">
      <c r="A288" s="82"/>
      <c r="B288" s="41"/>
      <c r="C288" s="80"/>
      <c r="D288" s="80"/>
      <c r="E288" s="30"/>
      <c r="F288" s="30"/>
      <c r="G288" s="30"/>
      <c r="H288" s="63"/>
      <c r="I288" s="80"/>
      <c r="J288" s="80"/>
      <c r="K288" s="80"/>
      <c r="L288" s="87"/>
      <c r="N288"/>
      <c r="O288"/>
      <c r="P288"/>
      <c r="Q288"/>
      <c r="R288"/>
      <c r="S288"/>
      <c r="T288"/>
      <c r="U288"/>
      <c r="V288"/>
      <c r="W288"/>
      <c r="X288"/>
      <c r="Y288"/>
      <c r="Z288"/>
      <c r="AA288"/>
      <c r="AB288"/>
      <c r="AC288"/>
      <c r="AD288"/>
      <c r="AE288"/>
      <c r="AF288"/>
      <c r="AG288"/>
    </row>
    <row r="289" spans="1:33" s="5" customFormat="1" x14ac:dyDescent="0.2">
      <c r="A289" s="82"/>
      <c r="B289" s="80"/>
      <c r="C289" s="80"/>
      <c r="D289" s="30"/>
      <c r="E289" s="34" t="str">
        <f>TEXT(H286,"0.000")&amp;"*"&amp;TEXT(E24,"0.000")&amp;" = "</f>
        <v xml:space="preserve">0.027*2.625 = </v>
      </c>
      <c r="F289" s="34"/>
      <c r="G289" s="92">
        <f>H286*E24</f>
        <v>7.173514660493828E-2</v>
      </c>
      <c r="H289" s="63"/>
      <c r="I289" s="80"/>
      <c r="J289" s="80"/>
      <c r="K289" s="80"/>
      <c r="L289" s="87"/>
      <c r="N289"/>
      <c r="O289"/>
      <c r="P289"/>
      <c r="Q289"/>
      <c r="R289"/>
      <c r="S289"/>
      <c r="T289"/>
      <c r="U289"/>
      <c r="V289"/>
      <c r="W289"/>
      <c r="X289"/>
      <c r="Y289"/>
      <c r="Z289"/>
      <c r="AA289"/>
      <c r="AB289"/>
      <c r="AC289"/>
      <c r="AD289"/>
      <c r="AE289"/>
      <c r="AF289"/>
      <c r="AG289"/>
    </row>
    <row r="290" spans="1:33" s="5" customFormat="1" x14ac:dyDescent="0.2">
      <c r="A290" s="82"/>
      <c r="B290" s="80"/>
      <c r="C290" s="80"/>
      <c r="D290" s="30"/>
      <c r="E290" s="30"/>
      <c r="F290" s="94"/>
      <c r="G290" s="30"/>
      <c r="H290" s="63"/>
      <c r="I290" s="80"/>
      <c r="J290" s="80"/>
      <c r="K290" s="80"/>
      <c r="L290" s="87"/>
      <c r="N290"/>
      <c r="O290"/>
      <c r="P290"/>
      <c r="Q290"/>
      <c r="R290"/>
      <c r="S290"/>
      <c r="T290"/>
      <c r="U290"/>
      <c r="V290"/>
      <c r="W290"/>
      <c r="X290"/>
      <c r="Y290"/>
      <c r="Z290"/>
      <c r="AA290"/>
      <c r="AB290"/>
      <c r="AC290"/>
      <c r="AD290"/>
      <c r="AE290"/>
      <c r="AF290"/>
      <c r="AG290"/>
    </row>
    <row r="291" spans="1:33" s="5" customFormat="1" x14ac:dyDescent="0.2">
      <c r="A291" s="82"/>
      <c r="B291" s="93" t="s">
        <v>122</v>
      </c>
      <c r="C291" s="80"/>
      <c r="D291" s="80"/>
      <c r="E291" s="80"/>
      <c r="F291" s="80"/>
      <c r="G291" s="80"/>
      <c r="H291" s="80"/>
      <c r="I291" s="80"/>
      <c r="J291" s="80"/>
      <c r="K291" s="95"/>
      <c r="L291" s="31" t="s">
        <v>123</v>
      </c>
      <c r="N291"/>
      <c r="O291"/>
      <c r="P291"/>
      <c r="Q291"/>
      <c r="R291"/>
      <c r="S291"/>
      <c r="T291"/>
      <c r="U291"/>
      <c r="V291"/>
      <c r="W291"/>
      <c r="X291"/>
      <c r="Y291"/>
      <c r="Z291"/>
      <c r="AA291"/>
      <c r="AB291"/>
      <c r="AC291"/>
      <c r="AD291"/>
      <c r="AE291"/>
      <c r="AF291"/>
      <c r="AG291"/>
    </row>
    <row r="292" spans="1:33" s="5" customFormat="1" x14ac:dyDescent="0.2">
      <c r="A292" s="82"/>
      <c r="B292" s="80"/>
      <c r="C292" s="80"/>
      <c r="D292" s="80"/>
      <c r="E292" s="80"/>
      <c r="F292" s="80"/>
      <c r="G292" s="80"/>
      <c r="H292" s="80"/>
      <c r="I292" s="80"/>
      <c r="J292" s="80"/>
      <c r="K292" s="95"/>
      <c r="L292" s="80"/>
      <c r="N292"/>
      <c r="O292"/>
      <c r="P292"/>
      <c r="Q292"/>
      <c r="R292"/>
      <c r="S292"/>
      <c r="T292"/>
      <c r="U292"/>
      <c r="V292"/>
      <c r="W292"/>
      <c r="X292"/>
      <c r="Y292"/>
      <c r="Z292"/>
      <c r="AA292"/>
      <c r="AB292"/>
      <c r="AC292"/>
      <c r="AD292"/>
      <c r="AE292"/>
      <c r="AF292"/>
      <c r="AG292"/>
    </row>
    <row r="293" spans="1:33" s="5" customFormat="1" x14ac:dyDescent="0.2">
      <c r="A293" s="82"/>
      <c r="B293" s="80"/>
      <c r="C293" s="80"/>
      <c r="D293" s="80"/>
      <c r="E293" s="80"/>
      <c r="F293" s="80"/>
      <c r="G293" s="80"/>
      <c r="H293" s="80"/>
      <c r="I293" s="80"/>
      <c r="J293" s="80"/>
      <c r="K293" s="80"/>
      <c r="L293" s="87"/>
      <c r="N293"/>
      <c r="O293"/>
      <c r="P293"/>
      <c r="Q293"/>
      <c r="R293"/>
      <c r="S293"/>
      <c r="T293"/>
      <c r="U293"/>
      <c r="V293"/>
      <c r="W293"/>
      <c r="X293"/>
      <c r="Y293"/>
      <c r="Z293"/>
      <c r="AA293"/>
      <c r="AB293"/>
      <c r="AC293"/>
      <c r="AD293"/>
      <c r="AE293"/>
      <c r="AF293"/>
      <c r="AG293"/>
    </row>
    <row r="294" spans="1:33" s="5" customFormat="1" x14ac:dyDescent="0.2">
      <c r="A294" s="82"/>
      <c r="B294" s="80"/>
      <c r="C294" s="30"/>
      <c r="D294" s="36" t="str">
        <f>"= "&amp;TEXT(G289,"0.000")&amp;"+"&amp;TEXT(E43,"0.00")&amp;"*"&amp;TEXT(G289,"0.000")&amp;" = "</f>
        <v xml:space="preserve">= 0.072+0.35*0.072 = </v>
      </c>
      <c r="E294" s="94"/>
      <c r="F294" s="94">
        <f>G289+E43*G289</f>
        <v>9.6842447916666671E-2</v>
      </c>
      <c r="G294" s="80"/>
      <c r="H294" s="80"/>
      <c r="I294" s="85"/>
      <c r="J294" s="80"/>
      <c r="K294" s="30"/>
      <c r="L294" s="31" t="s">
        <v>15</v>
      </c>
      <c r="N294"/>
      <c r="O294"/>
      <c r="P294"/>
      <c r="Q294"/>
      <c r="R294"/>
      <c r="S294"/>
      <c r="T294"/>
      <c r="U294"/>
      <c r="V294"/>
      <c r="W294"/>
      <c r="X294"/>
      <c r="Y294"/>
      <c r="Z294"/>
      <c r="AA294"/>
      <c r="AB294"/>
      <c r="AC294"/>
      <c r="AD294"/>
      <c r="AE294"/>
      <c r="AF294"/>
      <c r="AG294"/>
    </row>
    <row r="295" spans="1:33" s="5" customFormat="1" x14ac:dyDescent="0.2">
      <c r="A295" s="32"/>
      <c r="B295" s="30"/>
      <c r="C295" s="30"/>
      <c r="D295" s="30"/>
      <c r="E295" s="30"/>
      <c r="F295" s="30"/>
      <c r="G295" s="30"/>
      <c r="H295" s="30"/>
      <c r="I295" s="30"/>
      <c r="J295" s="30"/>
      <c r="K295" s="30"/>
      <c r="L295" s="31"/>
      <c r="N295"/>
      <c r="O295"/>
      <c r="P295"/>
      <c r="Q295"/>
      <c r="R295"/>
      <c r="S295"/>
      <c r="T295"/>
      <c r="U295"/>
      <c r="V295"/>
      <c r="W295"/>
      <c r="X295"/>
      <c r="Y295"/>
      <c r="Z295"/>
      <c r="AA295"/>
      <c r="AB295"/>
      <c r="AC295"/>
      <c r="AD295"/>
      <c r="AE295"/>
      <c r="AF295"/>
      <c r="AG295"/>
    </row>
    <row r="296" spans="1:33" s="5" customFormat="1" x14ac:dyDescent="0.2">
      <c r="A296" s="29" t="s">
        <v>82</v>
      </c>
      <c r="B296" s="30"/>
      <c r="C296" s="30"/>
      <c r="D296" s="30"/>
      <c r="E296" s="30"/>
      <c r="F296" s="30"/>
      <c r="G296" s="30"/>
      <c r="H296" s="30"/>
      <c r="I296" s="30"/>
      <c r="J296" s="30"/>
      <c r="K296" s="30"/>
      <c r="L296" s="31" t="s">
        <v>53</v>
      </c>
      <c r="N296"/>
      <c r="O296"/>
      <c r="P296"/>
      <c r="Q296"/>
      <c r="R296"/>
      <c r="S296"/>
      <c r="T296"/>
      <c r="U296"/>
      <c r="V296"/>
      <c r="W296"/>
      <c r="X296"/>
      <c r="Y296"/>
      <c r="Z296"/>
      <c r="AA296"/>
      <c r="AB296"/>
      <c r="AC296"/>
      <c r="AD296"/>
      <c r="AE296"/>
      <c r="AF296"/>
      <c r="AG296"/>
    </row>
    <row r="297" spans="1:33" s="5" customFormat="1" x14ac:dyDescent="0.2">
      <c r="A297" s="44" t="s">
        <v>192</v>
      </c>
      <c r="B297" s="44"/>
      <c r="C297" s="44"/>
      <c r="D297" s="44"/>
      <c r="E297" s="44"/>
      <c r="F297" s="44"/>
      <c r="G297" s="44"/>
      <c r="H297" s="44"/>
      <c r="I297" s="44"/>
      <c r="J297" s="44"/>
      <c r="K297" s="44"/>
      <c r="L297" s="44"/>
      <c r="N297"/>
      <c r="O297"/>
      <c r="P297"/>
      <c r="Q297"/>
      <c r="R297"/>
      <c r="S297"/>
      <c r="T297"/>
      <c r="U297"/>
      <c r="V297"/>
      <c r="W297"/>
      <c r="X297"/>
      <c r="Y297"/>
      <c r="Z297"/>
      <c r="AA297"/>
      <c r="AB297"/>
      <c r="AC297"/>
      <c r="AD297"/>
      <c r="AE297"/>
      <c r="AF297"/>
      <c r="AG297"/>
    </row>
    <row r="298" spans="1:33" s="5" customFormat="1" x14ac:dyDescent="0.2">
      <c r="A298" s="44"/>
      <c r="B298" s="44"/>
      <c r="C298" s="44"/>
      <c r="D298" s="44"/>
      <c r="E298" s="44"/>
      <c r="F298" s="44"/>
      <c r="G298" s="44"/>
      <c r="H298" s="44"/>
      <c r="I298" s="44"/>
      <c r="J298" s="44"/>
      <c r="K298" s="44"/>
      <c r="L298" s="44"/>
      <c r="N298"/>
      <c r="O298"/>
      <c r="P298"/>
      <c r="Q298"/>
      <c r="R298"/>
      <c r="S298"/>
      <c r="T298"/>
      <c r="U298"/>
      <c r="V298"/>
      <c r="W298"/>
      <c r="X298"/>
      <c r="Y298"/>
      <c r="Z298"/>
      <c r="AA298"/>
      <c r="AB298"/>
      <c r="AC298"/>
      <c r="AD298"/>
      <c r="AE298"/>
      <c r="AF298"/>
      <c r="AG298"/>
    </row>
    <row r="299" spans="1:33" s="5" customFormat="1" x14ac:dyDescent="0.2">
      <c r="A299" s="44"/>
      <c r="B299" s="44"/>
      <c r="C299" s="44"/>
      <c r="D299" s="44"/>
      <c r="E299" s="44"/>
      <c r="F299" s="44"/>
      <c r="G299" s="44"/>
      <c r="H299" s="44"/>
      <c r="I299" s="44"/>
      <c r="J299" s="44"/>
      <c r="K299" s="44"/>
      <c r="L299" s="44"/>
      <c r="N299"/>
      <c r="O299"/>
      <c r="P299"/>
      <c r="Q299"/>
      <c r="R299"/>
      <c r="S299"/>
      <c r="T299"/>
      <c r="U299"/>
      <c r="V299"/>
      <c r="W299"/>
      <c r="X299"/>
      <c r="Y299"/>
      <c r="Z299"/>
      <c r="AA299"/>
      <c r="AB299"/>
      <c r="AC299"/>
      <c r="AD299"/>
      <c r="AE299"/>
      <c r="AF299"/>
      <c r="AG299"/>
    </row>
    <row r="300" spans="1:33" s="5" customFormat="1" x14ac:dyDescent="0.2">
      <c r="A300" s="44"/>
      <c r="B300" s="44"/>
      <c r="C300" s="44"/>
      <c r="D300" s="44"/>
      <c r="E300" s="44"/>
      <c r="F300" s="44"/>
      <c r="G300" s="44"/>
      <c r="H300" s="44"/>
      <c r="I300" s="44"/>
      <c r="J300" s="44"/>
      <c r="K300" s="44"/>
      <c r="L300" s="44"/>
      <c r="N300"/>
      <c r="O300"/>
      <c r="P300"/>
      <c r="Q300"/>
      <c r="R300"/>
      <c r="S300"/>
      <c r="T300"/>
      <c r="U300"/>
      <c r="V300"/>
      <c r="W300"/>
      <c r="X300"/>
      <c r="Y300"/>
      <c r="Z300"/>
      <c r="AA300"/>
      <c r="AB300"/>
      <c r="AC300"/>
      <c r="AD300"/>
      <c r="AE300"/>
      <c r="AF300"/>
      <c r="AG300"/>
    </row>
    <row r="301" spans="1:33" s="5" customFormat="1" x14ac:dyDescent="0.2">
      <c r="A301" s="32"/>
      <c r="B301" s="30"/>
      <c r="C301" s="30"/>
      <c r="D301" s="30"/>
      <c r="E301" s="30"/>
      <c r="F301" s="30"/>
      <c r="G301" s="30"/>
      <c r="H301" s="30"/>
      <c r="I301" s="30"/>
      <c r="J301" s="30"/>
      <c r="K301" s="30"/>
      <c r="L301" s="31"/>
      <c r="N301"/>
      <c r="O301"/>
      <c r="P301"/>
      <c r="Q301"/>
      <c r="R301"/>
      <c r="S301"/>
      <c r="T301"/>
      <c r="U301"/>
      <c r="V301"/>
      <c r="W301"/>
      <c r="X301"/>
      <c r="Y301"/>
      <c r="Z301"/>
      <c r="AA301"/>
      <c r="AB301"/>
      <c r="AC301"/>
      <c r="AD301"/>
      <c r="AE301"/>
      <c r="AF301"/>
      <c r="AG301"/>
    </row>
    <row r="302" spans="1:33" s="5" customFormat="1" x14ac:dyDescent="0.2">
      <c r="A302" s="32"/>
      <c r="B302" s="30"/>
      <c r="C302" s="30"/>
      <c r="D302" s="30"/>
      <c r="E302" s="30"/>
      <c r="F302" s="30"/>
      <c r="G302" s="30"/>
      <c r="H302" s="30"/>
      <c r="I302" s="30"/>
      <c r="J302" s="30"/>
      <c r="K302" s="30"/>
      <c r="L302" s="31" t="s">
        <v>83</v>
      </c>
      <c r="N302"/>
      <c r="O302"/>
      <c r="P302"/>
      <c r="Q302"/>
      <c r="R302"/>
      <c r="S302"/>
      <c r="T302"/>
      <c r="U302"/>
      <c r="V302"/>
      <c r="W302"/>
      <c r="X302"/>
      <c r="Y302"/>
      <c r="Z302"/>
      <c r="AA302"/>
      <c r="AB302"/>
      <c r="AC302"/>
      <c r="AD302"/>
      <c r="AE302"/>
      <c r="AF302"/>
      <c r="AG302"/>
    </row>
    <row r="303" spans="1:33" s="5" customFormat="1" x14ac:dyDescent="0.2">
      <c r="A303" s="32"/>
      <c r="B303" s="35" t="s">
        <v>17</v>
      </c>
      <c r="C303" s="30"/>
      <c r="D303" s="30"/>
      <c r="E303" s="30"/>
      <c r="F303" s="30"/>
      <c r="G303" s="30"/>
      <c r="H303" s="30"/>
      <c r="I303" s="30"/>
      <c r="J303" s="30"/>
      <c r="K303" s="30"/>
      <c r="L303" s="31"/>
      <c r="N303"/>
      <c r="O303"/>
      <c r="P303"/>
      <c r="Q303"/>
      <c r="R303"/>
      <c r="S303"/>
      <c r="T303"/>
      <c r="U303"/>
      <c r="V303"/>
      <c r="W303"/>
      <c r="X303"/>
      <c r="Y303"/>
      <c r="Z303"/>
      <c r="AA303"/>
      <c r="AB303"/>
      <c r="AC303"/>
      <c r="AD303"/>
      <c r="AE303"/>
      <c r="AF303"/>
      <c r="AG303"/>
    </row>
    <row r="304" spans="1:33" s="5" customFormat="1" x14ac:dyDescent="0.2">
      <c r="A304" s="32"/>
      <c r="B304" s="35"/>
      <c r="C304" s="30"/>
      <c r="D304" s="30"/>
      <c r="E304" s="30"/>
      <c r="F304" s="30"/>
      <c r="G304" s="30"/>
      <c r="H304" s="30"/>
      <c r="I304" s="30"/>
      <c r="J304" s="30"/>
      <c r="K304" s="30"/>
      <c r="L304" s="31"/>
      <c r="N304"/>
      <c r="O304"/>
      <c r="P304"/>
      <c r="Q304"/>
      <c r="R304"/>
      <c r="S304"/>
      <c r="T304"/>
      <c r="U304"/>
      <c r="V304"/>
      <c r="W304"/>
      <c r="X304"/>
      <c r="Y304"/>
      <c r="Z304"/>
      <c r="AA304"/>
      <c r="AB304"/>
      <c r="AC304"/>
      <c r="AD304"/>
      <c r="AE304"/>
      <c r="AF304"/>
      <c r="AG304"/>
    </row>
    <row r="305" spans="1:33" s="5" customFormat="1" x14ac:dyDescent="0.2">
      <c r="A305" s="32"/>
      <c r="B305" s="30"/>
      <c r="C305" s="30"/>
      <c r="D305" s="30"/>
      <c r="E305" s="30"/>
      <c r="F305" s="30"/>
      <c r="G305" s="30"/>
      <c r="H305" s="30"/>
      <c r="I305" s="30"/>
      <c r="J305" s="30"/>
      <c r="K305" s="30"/>
      <c r="L305" s="31" t="s">
        <v>84</v>
      </c>
      <c r="N305"/>
      <c r="O305"/>
      <c r="P305"/>
      <c r="Q305"/>
      <c r="R305"/>
      <c r="S305"/>
      <c r="T305"/>
      <c r="U305"/>
      <c r="V305"/>
      <c r="W305"/>
      <c r="X305"/>
      <c r="Y305"/>
      <c r="Z305"/>
      <c r="AA305"/>
      <c r="AB305"/>
      <c r="AC305"/>
      <c r="AD305"/>
      <c r="AE305"/>
      <c r="AF305"/>
      <c r="AG305"/>
    </row>
    <row r="306" spans="1:33" s="5" customFormat="1" x14ac:dyDescent="0.2">
      <c r="A306" s="32"/>
      <c r="B306" s="30"/>
      <c r="C306" s="30"/>
      <c r="D306" s="30"/>
      <c r="E306" s="30"/>
      <c r="F306" s="30"/>
      <c r="G306" s="30"/>
      <c r="H306" s="30"/>
      <c r="I306" s="30"/>
      <c r="J306" s="30"/>
      <c r="K306" s="30"/>
      <c r="L306" s="31"/>
      <c r="N306"/>
      <c r="O306"/>
      <c r="P306"/>
      <c r="Q306"/>
      <c r="R306"/>
      <c r="S306"/>
      <c r="T306"/>
      <c r="U306"/>
      <c r="V306"/>
      <c r="W306"/>
      <c r="X306"/>
      <c r="Y306"/>
      <c r="Z306"/>
      <c r="AA306"/>
      <c r="AB306"/>
      <c r="AC306"/>
      <c r="AD306"/>
      <c r="AE306"/>
      <c r="AF306"/>
      <c r="AG306"/>
    </row>
    <row r="307" spans="1:33" s="5" customFormat="1" x14ac:dyDescent="0.2">
      <c r="A307" s="37" t="s">
        <v>85</v>
      </c>
      <c r="B307" s="30"/>
      <c r="C307" s="30"/>
      <c r="D307" s="30"/>
      <c r="E307" s="30"/>
      <c r="F307" s="30"/>
      <c r="G307" s="30"/>
      <c r="H307" s="30"/>
      <c r="I307" s="30"/>
      <c r="J307" s="30"/>
      <c r="K307" s="30"/>
      <c r="L307" s="31"/>
      <c r="N307"/>
      <c r="O307"/>
      <c r="P307"/>
      <c r="Q307"/>
      <c r="R307"/>
      <c r="S307"/>
      <c r="T307"/>
      <c r="U307"/>
      <c r="V307"/>
      <c r="W307"/>
      <c r="X307"/>
      <c r="Y307"/>
      <c r="Z307"/>
      <c r="AA307"/>
      <c r="AB307"/>
      <c r="AC307"/>
      <c r="AD307"/>
      <c r="AE307"/>
      <c r="AF307"/>
      <c r="AG307"/>
    </row>
    <row r="308" spans="1:33" s="5" customFormat="1" x14ac:dyDescent="0.2">
      <c r="A308" s="32"/>
      <c r="B308" s="30"/>
      <c r="C308" s="30"/>
      <c r="D308" s="30"/>
      <c r="E308" s="30"/>
      <c r="F308" s="30"/>
      <c r="G308" s="30"/>
      <c r="H308" s="30"/>
      <c r="I308" s="30"/>
      <c r="J308" s="30"/>
      <c r="K308" s="30"/>
      <c r="L308" s="31"/>
      <c r="N308"/>
      <c r="O308"/>
      <c r="P308"/>
      <c r="Q308"/>
      <c r="R308"/>
      <c r="S308"/>
      <c r="T308"/>
      <c r="U308"/>
      <c r="V308"/>
      <c r="W308"/>
      <c r="X308"/>
      <c r="Y308"/>
      <c r="Z308"/>
      <c r="AA308"/>
      <c r="AB308"/>
      <c r="AC308"/>
      <c r="AD308"/>
      <c r="AE308"/>
      <c r="AF308"/>
      <c r="AG308"/>
    </row>
    <row r="309" spans="1:33" s="5" customFormat="1" x14ac:dyDescent="0.2">
      <c r="A309" s="32"/>
      <c r="B309" s="30" t="s">
        <v>87</v>
      </c>
      <c r="C309" s="30"/>
      <c r="D309" s="30"/>
      <c r="E309" s="30"/>
      <c r="F309" s="30"/>
      <c r="G309" s="30"/>
      <c r="H309" s="30"/>
      <c r="I309" s="30"/>
      <c r="J309" s="30"/>
      <c r="K309" s="30"/>
      <c r="L309" s="31" t="s">
        <v>88</v>
      </c>
      <c r="N309"/>
      <c r="O309"/>
      <c r="P309"/>
      <c r="Q309"/>
      <c r="R309"/>
      <c r="S309"/>
      <c r="T309"/>
      <c r="U309"/>
      <c r="V309"/>
      <c r="W309"/>
      <c r="X309"/>
      <c r="Y309"/>
      <c r="Z309"/>
      <c r="AA309"/>
      <c r="AB309"/>
      <c r="AC309"/>
      <c r="AD309"/>
      <c r="AE309"/>
      <c r="AF309"/>
      <c r="AG309"/>
    </row>
    <row r="310" spans="1:33" s="5" customFormat="1" x14ac:dyDescent="0.2">
      <c r="A310" s="32"/>
      <c r="B310" s="30"/>
      <c r="C310" s="30"/>
      <c r="D310" s="30"/>
      <c r="E310" s="30"/>
      <c r="F310" s="30"/>
      <c r="G310" s="30"/>
      <c r="H310" s="30"/>
      <c r="I310" s="30"/>
      <c r="J310" s="30"/>
      <c r="K310" s="30"/>
      <c r="L310" s="31"/>
      <c r="N310"/>
      <c r="O310"/>
      <c r="P310"/>
      <c r="Q310"/>
      <c r="R310"/>
      <c r="S310"/>
      <c r="T310"/>
      <c r="U310"/>
      <c r="V310"/>
      <c r="W310"/>
      <c r="X310"/>
      <c r="Y310"/>
      <c r="Z310"/>
      <c r="AA310"/>
      <c r="AB310"/>
      <c r="AC310"/>
      <c r="AD310"/>
      <c r="AE310"/>
      <c r="AF310"/>
      <c r="AG310"/>
    </row>
    <row r="311" spans="1:33" s="5" customFormat="1" x14ac:dyDescent="0.2">
      <c r="A311" s="32"/>
      <c r="B311" s="30"/>
      <c r="C311" s="30"/>
      <c r="D311" s="30"/>
      <c r="E311" s="30"/>
      <c r="F311" s="30"/>
      <c r="G311" s="30"/>
      <c r="H311" s="30"/>
      <c r="I311" s="30"/>
      <c r="J311" s="30"/>
      <c r="K311" s="30"/>
      <c r="L311" s="31"/>
      <c r="N311"/>
      <c r="O311"/>
      <c r="P311"/>
      <c r="Q311"/>
      <c r="R311"/>
      <c r="S311"/>
      <c r="T311"/>
      <c r="U311"/>
      <c r="V311"/>
      <c r="W311"/>
      <c r="X311"/>
      <c r="Y311"/>
      <c r="Z311"/>
      <c r="AA311"/>
      <c r="AB311"/>
      <c r="AC311"/>
      <c r="AD311"/>
      <c r="AE311"/>
      <c r="AF311"/>
      <c r="AG311"/>
    </row>
    <row r="312" spans="1:33" s="5" customFormat="1" x14ac:dyDescent="0.2">
      <c r="A312" s="32"/>
      <c r="B312" s="30" t="s">
        <v>86</v>
      </c>
      <c r="C312" s="30"/>
      <c r="D312" s="30"/>
      <c r="E312" s="30"/>
      <c r="F312" s="30"/>
      <c r="G312" s="30"/>
      <c r="H312" s="30"/>
      <c r="I312" s="30"/>
      <c r="J312" s="30"/>
      <c r="K312" s="30"/>
      <c r="L312" s="31" t="s">
        <v>88</v>
      </c>
      <c r="N312"/>
      <c r="O312"/>
      <c r="P312"/>
      <c r="Q312"/>
      <c r="R312"/>
      <c r="S312"/>
      <c r="T312"/>
      <c r="U312"/>
      <c r="V312"/>
      <c r="W312"/>
      <c r="X312"/>
      <c r="Y312"/>
      <c r="Z312"/>
      <c r="AA312"/>
      <c r="AB312"/>
      <c r="AC312"/>
      <c r="AD312"/>
      <c r="AE312"/>
      <c r="AF312"/>
      <c r="AG312"/>
    </row>
    <row r="313" spans="1:33" s="5" customFormat="1" x14ac:dyDescent="0.2">
      <c r="A313" s="32"/>
      <c r="B313" s="30"/>
      <c r="C313" s="30"/>
      <c r="D313" s="30"/>
      <c r="E313" s="30"/>
      <c r="F313" s="30"/>
      <c r="G313" s="30"/>
      <c r="H313" s="30"/>
      <c r="I313" s="30"/>
      <c r="J313" s="30"/>
      <c r="K313" s="30"/>
      <c r="L313" s="31"/>
      <c r="N313"/>
      <c r="O313"/>
      <c r="P313"/>
      <c r="Q313"/>
      <c r="R313"/>
      <c r="S313"/>
      <c r="T313"/>
      <c r="U313"/>
      <c r="V313"/>
      <c r="W313"/>
      <c r="X313"/>
      <c r="Y313"/>
      <c r="Z313"/>
      <c r="AA313"/>
      <c r="AB313"/>
      <c r="AC313"/>
      <c r="AD313"/>
      <c r="AE313"/>
      <c r="AF313"/>
      <c r="AG313"/>
    </row>
    <row r="314" spans="1:33" s="5" customFormat="1" x14ac:dyDescent="0.2">
      <c r="A314" s="32"/>
      <c r="B314" s="30" t="s">
        <v>89</v>
      </c>
      <c r="C314" s="30"/>
      <c r="D314" s="30"/>
      <c r="E314" s="30"/>
      <c r="F314" s="30"/>
      <c r="G314" s="30"/>
      <c r="H314" s="30"/>
      <c r="I314" s="30"/>
      <c r="J314" s="30"/>
      <c r="K314" s="30"/>
      <c r="L314" s="31"/>
      <c r="N314"/>
      <c r="O314"/>
      <c r="P314"/>
      <c r="Q314"/>
      <c r="R314"/>
      <c r="S314"/>
      <c r="T314"/>
      <c r="U314"/>
      <c r="V314"/>
      <c r="W314"/>
      <c r="X314"/>
      <c r="Y314"/>
      <c r="Z314"/>
      <c r="AA314"/>
      <c r="AB314"/>
      <c r="AC314"/>
      <c r="AD314"/>
      <c r="AE314"/>
      <c r="AF314"/>
      <c r="AG314"/>
    </row>
    <row r="315" spans="1:33" s="5" customFormat="1" ht="13.5" x14ac:dyDescent="0.2">
      <c r="A315" s="32"/>
      <c r="B315" s="30"/>
      <c r="C315" s="30" t="s">
        <v>199</v>
      </c>
      <c r="D315" s="96">
        <v>1.4</v>
      </c>
      <c r="E315" s="30"/>
      <c r="F315" s="30"/>
      <c r="G315" s="30"/>
      <c r="H315" s="30"/>
      <c r="I315" s="30"/>
      <c r="J315" s="30"/>
      <c r="K315" s="30"/>
      <c r="L315" s="31" t="s">
        <v>90</v>
      </c>
      <c r="N315"/>
      <c r="O315"/>
      <c r="P315"/>
      <c r="Q315"/>
      <c r="R315"/>
      <c r="S315"/>
      <c r="T315"/>
      <c r="U315"/>
      <c r="V315"/>
      <c r="W315"/>
      <c r="X315"/>
      <c r="Y315"/>
      <c r="Z315"/>
      <c r="AA315"/>
      <c r="AB315"/>
      <c r="AC315"/>
      <c r="AD315"/>
      <c r="AE315"/>
      <c r="AF315"/>
      <c r="AG315"/>
    </row>
    <row r="316" spans="1:33" s="5" customFormat="1" x14ac:dyDescent="0.2">
      <c r="A316" s="32"/>
      <c r="B316" s="30"/>
      <c r="C316" s="30"/>
      <c r="D316" s="30" t="s">
        <v>110</v>
      </c>
      <c r="E316" s="30"/>
      <c r="F316" s="30"/>
      <c r="G316" s="30"/>
      <c r="H316" s="30"/>
      <c r="I316" s="30"/>
      <c r="J316" s="30"/>
      <c r="K316" s="30"/>
      <c r="L316" s="31"/>
      <c r="N316"/>
      <c r="O316"/>
      <c r="P316"/>
      <c r="Q316"/>
      <c r="R316"/>
      <c r="S316"/>
      <c r="T316"/>
      <c r="U316"/>
      <c r="V316"/>
      <c r="W316"/>
      <c r="X316"/>
      <c r="Y316"/>
      <c r="Z316"/>
      <c r="AA316"/>
      <c r="AB316"/>
      <c r="AC316"/>
      <c r="AD316"/>
      <c r="AE316"/>
      <c r="AF316"/>
      <c r="AG316"/>
    </row>
    <row r="317" spans="1:33" s="5" customFormat="1" x14ac:dyDescent="0.2">
      <c r="A317" s="32"/>
      <c r="B317" s="30"/>
      <c r="C317" s="30"/>
      <c r="D317" s="30" t="s">
        <v>111</v>
      </c>
      <c r="E317" s="30"/>
      <c r="F317" s="30"/>
      <c r="G317" s="30"/>
      <c r="H317" s="30"/>
      <c r="I317" s="30"/>
      <c r="J317" s="30"/>
      <c r="K317" s="30"/>
      <c r="L317" s="31"/>
      <c r="N317"/>
      <c r="O317"/>
      <c r="P317"/>
      <c r="Q317"/>
      <c r="R317"/>
      <c r="S317"/>
      <c r="T317"/>
      <c r="U317"/>
      <c r="V317"/>
      <c r="W317"/>
      <c r="X317"/>
      <c r="Y317"/>
      <c r="Z317"/>
      <c r="AA317"/>
      <c r="AB317"/>
      <c r="AC317"/>
      <c r="AD317"/>
      <c r="AE317"/>
      <c r="AF317"/>
      <c r="AG317"/>
    </row>
    <row r="318" spans="1:33" s="5" customFormat="1" x14ac:dyDescent="0.2">
      <c r="A318" s="32"/>
      <c r="B318" s="30"/>
      <c r="C318" s="30"/>
      <c r="D318" s="30"/>
      <c r="E318" s="30"/>
      <c r="F318" s="30"/>
      <c r="G318" s="30"/>
      <c r="H318" s="30"/>
      <c r="I318" s="30"/>
      <c r="J318" s="30"/>
      <c r="K318" s="30"/>
      <c r="L318" s="31"/>
      <c r="N318"/>
      <c r="O318"/>
      <c r="P318"/>
      <c r="Q318"/>
      <c r="R318"/>
      <c r="S318"/>
      <c r="T318"/>
      <c r="U318"/>
      <c r="V318"/>
      <c r="W318"/>
      <c r="X318"/>
      <c r="Y318"/>
      <c r="Z318"/>
      <c r="AA318"/>
      <c r="AB318"/>
      <c r="AC318"/>
      <c r="AD318"/>
      <c r="AE318"/>
      <c r="AF318"/>
      <c r="AG318"/>
    </row>
    <row r="319" spans="1:33" s="5" customFormat="1" x14ac:dyDescent="0.2">
      <c r="A319" s="32"/>
      <c r="B319" s="30"/>
      <c r="C319" s="30"/>
      <c r="D319" s="97" t="str">
        <f>TEXT(D315,"0.00")&amp;"*"&amp;TEXT(G173,"0.00")</f>
        <v>1.40*0.83</v>
      </c>
      <c r="E319" s="98">
        <f>(D315*G173)/(E40*I157)</f>
        <v>1.2962962962962963</v>
      </c>
      <c r="F319" s="30"/>
      <c r="G319" s="30"/>
      <c r="H319" s="30"/>
      <c r="I319" s="30"/>
      <c r="J319" s="30"/>
      <c r="K319" s="30"/>
      <c r="L319" s="31"/>
      <c r="N319"/>
      <c r="O319"/>
      <c r="P319"/>
      <c r="Q319"/>
      <c r="R319"/>
      <c r="S319"/>
      <c r="T319"/>
      <c r="U319"/>
      <c r="V319"/>
      <c r="W319"/>
      <c r="X319"/>
      <c r="Y319"/>
      <c r="Z319"/>
      <c r="AA319"/>
      <c r="AB319"/>
      <c r="AC319"/>
      <c r="AD319"/>
      <c r="AE319"/>
      <c r="AF319"/>
      <c r="AG319"/>
    </row>
    <row r="320" spans="1:33" s="5" customFormat="1" x14ac:dyDescent="0.2">
      <c r="A320" s="32"/>
      <c r="B320" s="30"/>
      <c r="C320" s="30"/>
      <c r="D320" s="30" t="str">
        <f>TEXT(E40,"0.00")&amp;"*"&amp;TEXT(I157,"0.00")</f>
        <v>0.13*7.06</v>
      </c>
      <c r="E320" s="98"/>
      <c r="F320" s="30"/>
      <c r="G320" s="30"/>
      <c r="H320" s="30"/>
      <c r="I320" s="30"/>
      <c r="J320" s="30"/>
      <c r="K320" s="30"/>
      <c r="L320" s="31"/>
      <c r="N320"/>
      <c r="O320"/>
      <c r="P320"/>
      <c r="Q320"/>
      <c r="R320"/>
      <c r="S320"/>
      <c r="T320"/>
      <c r="U320"/>
      <c r="V320"/>
      <c r="W320"/>
      <c r="X320"/>
      <c r="Y320"/>
      <c r="Z320"/>
      <c r="AA320"/>
      <c r="AB320"/>
      <c r="AC320"/>
      <c r="AD320"/>
      <c r="AE320"/>
      <c r="AF320"/>
      <c r="AG320"/>
    </row>
    <row r="321" spans="1:33" s="5" customFormat="1" x14ac:dyDescent="0.2">
      <c r="A321" s="32"/>
      <c r="B321" s="30"/>
      <c r="C321" s="30"/>
      <c r="D321" s="30"/>
      <c r="E321" s="30"/>
      <c r="F321" s="30"/>
      <c r="G321" s="30"/>
      <c r="H321" s="30"/>
      <c r="I321" s="30"/>
      <c r="J321" s="30"/>
      <c r="K321" s="30"/>
      <c r="L321" s="31"/>
      <c r="N321"/>
      <c r="O321"/>
      <c r="P321"/>
      <c r="Q321"/>
      <c r="R321"/>
      <c r="S321"/>
      <c r="T321"/>
      <c r="U321"/>
      <c r="V321"/>
      <c r="W321"/>
      <c r="X321"/>
      <c r="Y321"/>
      <c r="Z321"/>
      <c r="AA321"/>
      <c r="AB321"/>
      <c r="AC321"/>
      <c r="AD321"/>
      <c r="AE321"/>
      <c r="AF321"/>
      <c r="AG321"/>
    </row>
    <row r="322" spans="1:33" s="5" customFormat="1" x14ac:dyDescent="0.2">
      <c r="A322" s="32"/>
      <c r="B322" s="30"/>
      <c r="C322" s="30"/>
      <c r="D322" s="97" t="str">
        <f>TEXT(D315,"0.00")&amp;"*"&amp;TEXT(G168,"0.00")</f>
        <v>1.40*0.25</v>
      </c>
      <c r="E322" s="98">
        <f>(D315*G168)/(E40*I157)</f>
        <v>0.38888888888888884</v>
      </c>
      <c r="F322" s="30"/>
      <c r="G322" s="30"/>
      <c r="H322" s="30"/>
      <c r="I322" s="30"/>
      <c r="J322" s="30"/>
      <c r="K322" s="30"/>
      <c r="L322" s="31"/>
      <c r="N322"/>
      <c r="O322"/>
      <c r="P322"/>
      <c r="Q322"/>
      <c r="R322"/>
      <c r="S322"/>
      <c r="T322"/>
      <c r="U322"/>
      <c r="V322"/>
      <c r="W322"/>
      <c r="X322"/>
      <c r="Y322"/>
      <c r="Z322"/>
      <c r="AA322"/>
      <c r="AB322"/>
      <c r="AC322"/>
      <c r="AD322"/>
      <c r="AE322"/>
      <c r="AF322"/>
      <c r="AG322"/>
    </row>
    <row r="323" spans="1:33" s="5" customFormat="1" x14ac:dyDescent="0.2">
      <c r="A323" s="32"/>
      <c r="B323" s="30"/>
      <c r="C323" s="30"/>
      <c r="D323" s="30" t="str">
        <f>TEXT(E40,"0.00")&amp;"*"&amp;TEXT(I157,"0.00")</f>
        <v>0.13*7.06</v>
      </c>
      <c r="E323" s="98"/>
      <c r="F323" s="30"/>
      <c r="G323" s="30"/>
      <c r="H323" s="30"/>
      <c r="I323" s="30"/>
      <c r="J323" s="30"/>
      <c r="K323" s="30"/>
      <c r="L323" s="31"/>
      <c r="N323"/>
      <c r="O323"/>
      <c r="P323"/>
      <c r="Q323"/>
      <c r="R323"/>
      <c r="S323"/>
      <c r="T323"/>
      <c r="U323"/>
      <c r="V323"/>
      <c r="W323"/>
      <c r="X323"/>
      <c r="Y323"/>
      <c r="Z323"/>
      <c r="AA323"/>
      <c r="AB323"/>
      <c r="AC323"/>
      <c r="AD323"/>
      <c r="AE323"/>
      <c r="AF323"/>
      <c r="AG323"/>
    </row>
    <row r="324" spans="1:33" s="5" customFormat="1" x14ac:dyDescent="0.2">
      <c r="A324" s="32"/>
      <c r="B324" s="30"/>
      <c r="C324" s="30"/>
      <c r="D324" s="30"/>
      <c r="E324" s="99"/>
      <c r="F324" s="30"/>
      <c r="G324" s="30"/>
      <c r="H324" s="30"/>
      <c r="I324" s="30"/>
      <c r="J324" s="30"/>
      <c r="K324" s="30"/>
      <c r="L324" s="31"/>
      <c r="N324"/>
      <c r="O324"/>
      <c r="P324"/>
      <c r="Q324"/>
      <c r="R324"/>
      <c r="S324"/>
      <c r="T324"/>
      <c r="U324"/>
      <c r="V324"/>
      <c r="W324"/>
      <c r="X324"/>
      <c r="Y324"/>
      <c r="Z324"/>
      <c r="AA324"/>
      <c r="AB324"/>
      <c r="AC324"/>
      <c r="AD324"/>
      <c r="AE324"/>
      <c r="AF324"/>
      <c r="AG324"/>
    </row>
    <row r="325" spans="1:33" s="5" customFormat="1" x14ac:dyDescent="0.2">
      <c r="A325" s="37" t="s">
        <v>92</v>
      </c>
      <c r="B325" s="30"/>
      <c r="C325" s="30"/>
      <c r="D325" s="30"/>
      <c r="E325" s="99"/>
      <c r="F325" s="30"/>
      <c r="G325" s="30"/>
      <c r="H325" s="30"/>
      <c r="I325" s="30"/>
      <c r="J325" s="30"/>
      <c r="K325" s="30"/>
      <c r="L325" s="31"/>
      <c r="N325"/>
      <c r="O325"/>
      <c r="P325"/>
      <c r="Q325"/>
      <c r="R325"/>
      <c r="S325"/>
      <c r="T325"/>
      <c r="U325"/>
      <c r="V325"/>
      <c r="W325"/>
      <c r="X325"/>
      <c r="Y325"/>
      <c r="Z325"/>
      <c r="AA325"/>
      <c r="AB325"/>
      <c r="AC325"/>
      <c r="AD325"/>
      <c r="AE325"/>
      <c r="AF325"/>
      <c r="AG325"/>
    </row>
    <row r="326" spans="1:33" s="5" customFormat="1" x14ac:dyDescent="0.2">
      <c r="A326" s="32"/>
      <c r="B326" s="30"/>
      <c r="C326" s="30"/>
      <c r="D326" s="30"/>
      <c r="E326" s="99"/>
      <c r="F326" s="30"/>
      <c r="G326" s="30"/>
      <c r="H326" s="30"/>
      <c r="I326" s="30"/>
      <c r="J326" s="30"/>
      <c r="K326" s="30"/>
      <c r="L326" s="31"/>
      <c r="N326"/>
      <c r="O326"/>
      <c r="P326"/>
      <c r="Q326"/>
      <c r="R326"/>
      <c r="S326"/>
      <c r="T326"/>
      <c r="U326"/>
      <c r="V326"/>
      <c r="W326"/>
      <c r="X326"/>
      <c r="Y326"/>
      <c r="Z326"/>
      <c r="AA326"/>
      <c r="AB326"/>
      <c r="AC326"/>
      <c r="AD326"/>
      <c r="AE326"/>
      <c r="AF326"/>
      <c r="AG326"/>
    </row>
    <row r="327" spans="1:33" s="5" customFormat="1" x14ac:dyDescent="0.2">
      <c r="A327" s="32"/>
      <c r="B327" s="30" t="s">
        <v>94</v>
      </c>
      <c r="C327" s="30"/>
      <c r="D327" s="30"/>
      <c r="E327" s="99"/>
      <c r="F327" s="30"/>
      <c r="G327" s="30"/>
      <c r="H327" s="30"/>
      <c r="I327" s="30"/>
      <c r="J327" s="30"/>
      <c r="K327" s="30"/>
      <c r="L327" s="31" t="s">
        <v>93</v>
      </c>
      <c r="N327"/>
      <c r="O327"/>
      <c r="P327"/>
      <c r="Q327"/>
      <c r="R327"/>
      <c r="S327"/>
      <c r="T327"/>
      <c r="U327"/>
      <c r="V327"/>
      <c r="W327"/>
      <c r="X327"/>
      <c r="Y327"/>
      <c r="Z327"/>
      <c r="AA327"/>
      <c r="AB327"/>
      <c r="AC327"/>
      <c r="AD327"/>
      <c r="AE327"/>
      <c r="AF327"/>
      <c r="AG327"/>
    </row>
    <row r="328" spans="1:33" s="5" customFormat="1" x14ac:dyDescent="0.2">
      <c r="A328" s="32"/>
      <c r="B328" s="30"/>
      <c r="C328" s="30"/>
      <c r="D328" s="30"/>
      <c r="E328" s="99"/>
      <c r="F328" s="30"/>
      <c r="G328" s="30"/>
      <c r="H328" s="30"/>
      <c r="I328" s="30"/>
      <c r="J328" s="30"/>
      <c r="K328" s="30"/>
      <c r="L328" s="31"/>
      <c r="N328"/>
      <c r="O328"/>
      <c r="P328"/>
      <c r="Q328"/>
      <c r="R328"/>
      <c r="S328"/>
      <c r="T328"/>
      <c r="U328"/>
      <c r="V328"/>
      <c r="W328"/>
      <c r="X328"/>
      <c r="Y328"/>
      <c r="Z328"/>
      <c r="AA328"/>
      <c r="AB328"/>
      <c r="AC328"/>
      <c r="AD328"/>
      <c r="AE328"/>
      <c r="AF328"/>
      <c r="AG328"/>
    </row>
    <row r="329" spans="1:33" s="5" customFormat="1" x14ac:dyDescent="0.2">
      <c r="A329" s="32"/>
      <c r="B329" s="30"/>
      <c r="C329" s="30"/>
      <c r="D329" s="30"/>
      <c r="E329" s="99"/>
      <c r="F329" s="30"/>
      <c r="G329" s="30"/>
      <c r="H329" s="30"/>
      <c r="I329" s="30"/>
      <c r="J329" s="30"/>
      <c r="K329" s="30"/>
      <c r="L329" s="31"/>
      <c r="N329"/>
      <c r="O329"/>
      <c r="P329"/>
      <c r="Q329"/>
      <c r="R329"/>
      <c r="S329"/>
      <c r="T329"/>
      <c r="U329"/>
      <c r="V329"/>
      <c r="W329"/>
      <c r="X329"/>
      <c r="Y329"/>
      <c r="Z329"/>
      <c r="AA329"/>
      <c r="AB329"/>
      <c r="AC329"/>
      <c r="AD329"/>
      <c r="AE329"/>
      <c r="AF329"/>
      <c r="AG329"/>
    </row>
    <row r="330" spans="1:33" s="5" customFormat="1" x14ac:dyDescent="0.2">
      <c r="A330" s="32"/>
      <c r="B330" s="30"/>
      <c r="C330" s="30"/>
      <c r="D330" s="30"/>
      <c r="E330" s="99"/>
      <c r="F330" s="30"/>
      <c r="G330" s="30"/>
      <c r="H330" s="30"/>
      <c r="I330" s="30"/>
      <c r="J330" s="30"/>
      <c r="K330" s="30"/>
      <c r="L330" s="31"/>
      <c r="N330"/>
      <c r="O330"/>
      <c r="P330"/>
      <c r="Q330"/>
      <c r="R330"/>
      <c r="S330"/>
      <c r="T330"/>
      <c r="U330"/>
      <c r="V330"/>
      <c r="W330"/>
      <c r="X330"/>
      <c r="Y330"/>
      <c r="Z330"/>
      <c r="AA330"/>
      <c r="AB330"/>
      <c r="AC330"/>
      <c r="AD330"/>
      <c r="AE330"/>
      <c r="AF330"/>
      <c r="AG330"/>
    </row>
    <row r="331" spans="1:33" s="5" customFormat="1" x14ac:dyDescent="0.2">
      <c r="A331" s="32"/>
      <c r="B331" s="30" t="s">
        <v>95</v>
      </c>
      <c r="C331" s="30"/>
      <c r="D331" s="30"/>
      <c r="E331" s="99"/>
      <c r="F331" s="30"/>
      <c r="G331" s="30"/>
      <c r="H331" s="30"/>
      <c r="I331" s="30"/>
      <c r="J331" s="30"/>
      <c r="K331" s="30"/>
      <c r="L331" s="31" t="s">
        <v>93</v>
      </c>
      <c r="N331"/>
      <c r="O331"/>
      <c r="P331"/>
      <c r="Q331"/>
      <c r="R331"/>
      <c r="S331"/>
      <c r="T331"/>
      <c r="U331"/>
      <c r="V331"/>
      <c r="W331"/>
      <c r="X331"/>
      <c r="Y331"/>
      <c r="Z331"/>
      <c r="AA331"/>
      <c r="AB331"/>
      <c r="AC331"/>
      <c r="AD331"/>
      <c r="AE331"/>
      <c r="AF331"/>
      <c r="AG331"/>
    </row>
    <row r="332" spans="1:33" s="5" customFormat="1" x14ac:dyDescent="0.2">
      <c r="A332" s="32"/>
      <c r="B332" s="30"/>
      <c r="C332" s="30"/>
      <c r="D332" s="30"/>
      <c r="E332" s="99"/>
      <c r="F332" s="30"/>
      <c r="G332" s="30"/>
      <c r="H332" s="30"/>
      <c r="I332" s="30"/>
      <c r="J332" s="30"/>
      <c r="K332" s="30"/>
      <c r="L332" s="31"/>
      <c r="N332"/>
      <c r="O332"/>
      <c r="P332"/>
      <c r="Q332"/>
      <c r="R332"/>
      <c r="S332"/>
      <c r="T332"/>
      <c r="U332"/>
      <c r="V332"/>
      <c r="W332"/>
      <c r="X332"/>
      <c r="Y332"/>
      <c r="Z332"/>
      <c r="AA332"/>
      <c r="AB332"/>
      <c r="AC332"/>
      <c r="AD332"/>
      <c r="AE332"/>
      <c r="AF332"/>
      <c r="AG332"/>
    </row>
    <row r="333" spans="1:33" s="5" customFormat="1" x14ac:dyDescent="0.2">
      <c r="A333" s="32"/>
      <c r="B333" s="30" t="s">
        <v>56</v>
      </c>
      <c r="C333" s="30"/>
      <c r="D333" s="30"/>
      <c r="E333" s="30"/>
      <c r="F333" s="30"/>
      <c r="G333" s="30"/>
      <c r="H333" s="30"/>
      <c r="I333" s="30"/>
      <c r="J333" s="30"/>
      <c r="K333" s="30"/>
      <c r="L333" s="31"/>
      <c r="N333"/>
      <c r="O333"/>
      <c r="P333"/>
      <c r="Q333"/>
      <c r="R333"/>
      <c r="S333"/>
      <c r="T333"/>
      <c r="U333"/>
      <c r="V333"/>
      <c r="W333"/>
      <c r="X333"/>
      <c r="Y333"/>
      <c r="Z333"/>
      <c r="AA333"/>
      <c r="AB333"/>
      <c r="AC333"/>
      <c r="AD333"/>
      <c r="AE333"/>
      <c r="AF333"/>
      <c r="AG333"/>
    </row>
    <row r="334" spans="1:33" s="5" customFormat="1" ht="13.5" x14ac:dyDescent="0.2">
      <c r="A334" s="32"/>
      <c r="B334" s="30"/>
      <c r="C334" s="31" t="s">
        <v>200</v>
      </c>
      <c r="D334" s="96">
        <v>0.5</v>
      </c>
      <c r="E334" s="30"/>
      <c r="F334" s="30"/>
      <c r="G334" s="30"/>
      <c r="H334" s="30"/>
      <c r="I334" s="30"/>
      <c r="J334" s="30"/>
      <c r="K334" s="30"/>
      <c r="L334" s="31" t="s">
        <v>96</v>
      </c>
      <c r="N334"/>
      <c r="O334"/>
      <c r="P334"/>
      <c r="Q334"/>
      <c r="R334"/>
      <c r="S334"/>
      <c r="T334"/>
      <c r="U334"/>
      <c r="V334"/>
      <c r="W334"/>
      <c r="X334"/>
      <c r="Y334"/>
      <c r="Z334"/>
      <c r="AA334"/>
      <c r="AB334"/>
      <c r="AC334"/>
      <c r="AD334"/>
      <c r="AE334"/>
      <c r="AF334"/>
      <c r="AG334"/>
    </row>
    <row r="335" spans="1:33" s="5" customFormat="1" x14ac:dyDescent="0.2">
      <c r="A335" s="32"/>
      <c r="B335" s="30"/>
      <c r="C335" s="30"/>
      <c r="D335" s="30"/>
      <c r="E335" s="30"/>
      <c r="F335" s="30"/>
      <c r="G335" s="30"/>
      <c r="H335" s="30"/>
      <c r="I335" s="30"/>
      <c r="J335" s="30"/>
      <c r="K335" s="30"/>
      <c r="L335" s="31"/>
      <c r="N335"/>
      <c r="O335"/>
      <c r="P335"/>
      <c r="Q335"/>
      <c r="R335"/>
      <c r="S335"/>
      <c r="T335"/>
      <c r="U335"/>
      <c r="V335"/>
      <c r="W335"/>
      <c r="X335"/>
      <c r="Y335"/>
      <c r="Z335"/>
      <c r="AA335"/>
      <c r="AB335"/>
      <c r="AC335"/>
      <c r="AD335"/>
      <c r="AE335"/>
      <c r="AF335"/>
      <c r="AG335"/>
    </row>
    <row r="336" spans="1:33" s="5" customFormat="1" x14ac:dyDescent="0.2">
      <c r="A336" s="32"/>
      <c r="B336" s="30"/>
      <c r="C336" s="30"/>
      <c r="D336" s="30"/>
      <c r="E336" s="30" t="s">
        <v>182</v>
      </c>
      <c r="F336" s="30"/>
      <c r="G336" s="30"/>
      <c r="H336" s="30"/>
      <c r="I336" s="30"/>
      <c r="J336" s="30"/>
      <c r="K336" s="30"/>
      <c r="L336" s="31"/>
      <c r="N336"/>
      <c r="O336"/>
      <c r="P336"/>
      <c r="Q336"/>
      <c r="R336"/>
      <c r="S336"/>
      <c r="T336"/>
      <c r="U336"/>
      <c r="V336"/>
      <c r="W336"/>
      <c r="X336"/>
      <c r="Y336"/>
      <c r="Z336"/>
      <c r="AA336"/>
      <c r="AB336"/>
      <c r="AC336"/>
      <c r="AD336"/>
      <c r="AE336"/>
      <c r="AF336"/>
      <c r="AG336"/>
    </row>
    <row r="337" spans="1:33" s="5" customFormat="1" x14ac:dyDescent="0.2">
      <c r="A337" s="32"/>
      <c r="B337" s="30"/>
      <c r="C337" s="30"/>
      <c r="D337" s="30"/>
      <c r="E337" s="30"/>
      <c r="F337" s="30"/>
      <c r="G337" s="30"/>
      <c r="H337" s="30"/>
      <c r="I337" s="30"/>
      <c r="J337" s="30"/>
      <c r="K337" s="30"/>
      <c r="L337" s="31"/>
      <c r="N337"/>
      <c r="O337"/>
      <c r="P337"/>
      <c r="Q337"/>
      <c r="R337"/>
      <c r="S337"/>
      <c r="T337"/>
      <c r="U337"/>
      <c r="V337"/>
      <c r="W337"/>
      <c r="X337"/>
      <c r="Y337"/>
      <c r="Z337"/>
      <c r="AA337"/>
      <c r="AB337"/>
      <c r="AC337"/>
      <c r="AD337"/>
      <c r="AE337"/>
      <c r="AF337"/>
      <c r="AG337"/>
    </row>
    <row r="338" spans="1:33" s="5" customFormat="1" x14ac:dyDescent="0.2">
      <c r="A338" s="32"/>
      <c r="B338" s="30"/>
      <c r="C338" s="30"/>
      <c r="D338" s="30"/>
      <c r="E338" s="30" t="s">
        <v>160</v>
      </c>
      <c r="F338" s="30"/>
      <c r="G338" s="30"/>
      <c r="H338" s="30"/>
      <c r="I338" s="30"/>
      <c r="J338" s="30"/>
      <c r="K338" s="30"/>
      <c r="L338" s="31"/>
      <c r="N338"/>
      <c r="O338"/>
      <c r="P338"/>
      <c r="Q338"/>
      <c r="R338"/>
      <c r="S338"/>
      <c r="T338"/>
      <c r="U338"/>
      <c r="V338"/>
      <c r="W338"/>
      <c r="X338"/>
      <c r="Y338"/>
      <c r="Z338"/>
      <c r="AA338"/>
      <c r="AB338"/>
      <c r="AC338"/>
      <c r="AD338"/>
      <c r="AE338"/>
      <c r="AF338"/>
      <c r="AG338"/>
    </row>
    <row r="339" spans="1:33" s="5" customFormat="1" x14ac:dyDescent="0.2">
      <c r="A339" s="32"/>
      <c r="B339" s="30"/>
      <c r="C339" s="30"/>
      <c r="D339" s="30"/>
      <c r="E339" s="30"/>
      <c r="F339" s="30"/>
      <c r="G339" s="30"/>
      <c r="H339" s="30"/>
      <c r="I339" s="30"/>
      <c r="J339" s="30"/>
      <c r="K339" s="30"/>
      <c r="L339" s="31"/>
      <c r="N339"/>
      <c r="O339"/>
      <c r="P339"/>
      <c r="Q339"/>
      <c r="R339"/>
      <c r="S339"/>
      <c r="T339"/>
      <c r="U339"/>
      <c r="V339"/>
      <c r="W339"/>
      <c r="X339"/>
      <c r="Y339"/>
      <c r="Z339"/>
      <c r="AA339"/>
      <c r="AB339"/>
      <c r="AC339"/>
      <c r="AD339"/>
      <c r="AE339"/>
      <c r="AF339"/>
      <c r="AG339"/>
    </row>
    <row r="340" spans="1:33" s="5" customFormat="1" x14ac:dyDescent="0.2">
      <c r="A340" s="32"/>
      <c r="B340" s="30"/>
      <c r="C340" s="30"/>
      <c r="D340" s="30"/>
      <c r="E340" s="35" t="str">
        <f>TEXT(D334,"0.00")&amp;" ( "&amp;TEXT(E17,"0.00")&amp;" / "&amp;TEXT(E20,"0.000")&amp;" ) ^2 *("&amp;TEXT(E111,"0.000")&amp;" + "&amp;TEXT(E117,"0.000")&amp;") / "&amp;TEXT(E23,"0")</f>
        <v>0.50 ( 10.00 / 0.500 ) ^2 *(-0.001 + 0.005) / 5</v>
      </c>
      <c r="F340" s="35"/>
      <c r="G340" s="35"/>
      <c r="H340" s="35"/>
      <c r="I340" s="35"/>
      <c r="J340" s="98">
        <f>D334*(E17/E20)^2*(E111+E117)/E23</f>
        <v>0.16</v>
      </c>
      <c r="K340" s="30"/>
      <c r="L340" s="31"/>
      <c r="N340"/>
      <c r="O340"/>
      <c r="P340"/>
      <c r="Q340"/>
      <c r="R340"/>
      <c r="S340"/>
      <c r="T340"/>
      <c r="U340"/>
      <c r="V340"/>
      <c r="W340"/>
      <c r="X340"/>
      <c r="Y340"/>
      <c r="Z340"/>
      <c r="AA340"/>
      <c r="AB340"/>
      <c r="AC340"/>
      <c r="AD340"/>
      <c r="AE340"/>
      <c r="AF340"/>
      <c r="AG340"/>
    </row>
    <row r="341" spans="1:33" s="5" customFormat="1" x14ac:dyDescent="0.2">
      <c r="A341" s="32"/>
      <c r="B341" s="30"/>
      <c r="C341" s="30"/>
      <c r="D341" s="30"/>
      <c r="E341" s="35"/>
      <c r="F341" s="35"/>
      <c r="G341" s="35"/>
      <c r="H341" s="35"/>
      <c r="I341" s="35"/>
      <c r="J341" s="98"/>
      <c r="K341" s="30"/>
      <c r="L341" s="31"/>
      <c r="N341"/>
      <c r="O341"/>
      <c r="P341"/>
      <c r="Q341"/>
      <c r="R341"/>
      <c r="S341"/>
      <c r="T341"/>
      <c r="U341"/>
      <c r="V341"/>
      <c r="W341"/>
      <c r="X341"/>
      <c r="Y341"/>
      <c r="Z341"/>
      <c r="AA341"/>
      <c r="AB341"/>
      <c r="AC341"/>
      <c r="AD341"/>
      <c r="AE341"/>
      <c r="AF341"/>
      <c r="AG341"/>
    </row>
    <row r="342" spans="1:33" s="5" customFormat="1" x14ac:dyDescent="0.2">
      <c r="A342" s="32"/>
      <c r="B342" s="30"/>
      <c r="C342" s="30"/>
      <c r="D342" s="30"/>
      <c r="E342" s="30"/>
      <c r="F342" s="30"/>
      <c r="G342" s="30"/>
      <c r="H342" s="30"/>
      <c r="I342" s="30"/>
      <c r="J342" s="30"/>
      <c r="K342" s="30"/>
      <c r="L342" s="31"/>
      <c r="N342"/>
      <c r="O342"/>
      <c r="P342"/>
      <c r="Q342"/>
      <c r="R342"/>
      <c r="S342"/>
      <c r="T342"/>
      <c r="U342"/>
      <c r="V342"/>
      <c r="W342"/>
      <c r="X342"/>
      <c r="Y342"/>
      <c r="Z342"/>
      <c r="AA342"/>
      <c r="AB342"/>
      <c r="AC342"/>
      <c r="AD342"/>
      <c r="AE342"/>
      <c r="AF342"/>
      <c r="AG342"/>
    </row>
    <row r="343" spans="1:33" s="5" customFormat="1" x14ac:dyDescent="0.2">
      <c r="A343" s="32"/>
      <c r="B343" s="30"/>
      <c r="C343" s="30"/>
      <c r="D343" s="30"/>
      <c r="E343" s="30"/>
      <c r="F343" s="30"/>
      <c r="G343" s="30"/>
      <c r="H343" s="30"/>
      <c r="I343" s="30"/>
      <c r="J343" s="30"/>
      <c r="K343" s="30"/>
      <c r="L343" s="31"/>
      <c r="N343"/>
      <c r="O343"/>
      <c r="P343"/>
      <c r="Q343"/>
      <c r="R343"/>
      <c r="S343"/>
      <c r="T343"/>
      <c r="U343"/>
      <c r="V343"/>
      <c r="W343"/>
      <c r="X343"/>
      <c r="Y343"/>
      <c r="Z343"/>
      <c r="AA343"/>
      <c r="AB343"/>
      <c r="AC343"/>
      <c r="AD343"/>
      <c r="AE343"/>
      <c r="AF343"/>
      <c r="AG343"/>
    </row>
    <row r="344" spans="1:33" s="5" customFormat="1" x14ac:dyDescent="0.2">
      <c r="A344" s="32"/>
      <c r="B344" s="30"/>
      <c r="C344" s="30"/>
      <c r="D344" s="30"/>
      <c r="E344" s="30" t="str">
        <f>TEXT(D334,"0.00")&amp;" ( "&amp;TEXT(E17,"0.00")&amp;" / "&amp;TEXT(E20,"0.000")&amp;" ) ^2 *("&amp;TEXT(E112,"0.000")&amp;") / "&amp;TEXT(E23,"0")</f>
        <v>0.50 ( 10.00 / 0.500 ) ^2 *(0.006) / 5</v>
      </c>
      <c r="F344" s="30"/>
      <c r="G344" s="30"/>
      <c r="H344" s="30"/>
      <c r="I344" s="99">
        <f>D334*(E17/E20)^2*(E112)/E23</f>
        <v>0.24</v>
      </c>
      <c r="J344" s="30"/>
      <c r="K344" s="30"/>
      <c r="L344" s="31"/>
      <c r="N344"/>
      <c r="O344"/>
      <c r="P344"/>
      <c r="Q344"/>
      <c r="R344"/>
      <c r="S344"/>
      <c r="T344"/>
      <c r="U344"/>
      <c r="V344"/>
      <c r="W344"/>
      <c r="X344"/>
      <c r="Y344"/>
      <c r="Z344"/>
      <c r="AA344"/>
      <c r="AB344"/>
      <c r="AC344"/>
      <c r="AD344"/>
      <c r="AE344"/>
      <c r="AF344"/>
      <c r="AG344"/>
    </row>
    <row r="345" spans="1:33" s="5" customFormat="1" x14ac:dyDescent="0.2">
      <c r="A345" s="32"/>
      <c r="B345" s="30"/>
      <c r="C345" s="30"/>
      <c r="D345" s="30"/>
      <c r="E345" s="30"/>
      <c r="F345" s="30"/>
      <c r="G345" s="30"/>
      <c r="H345" s="30"/>
      <c r="I345" s="30"/>
      <c r="J345" s="30"/>
      <c r="K345" s="30"/>
      <c r="L345" s="31"/>
      <c r="N345"/>
      <c r="O345"/>
      <c r="P345"/>
      <c r="Q345"/>
      <c r="R345"/>
      <c r="S345"/>
      <c r="T345"/>
      <c r="U345"/>
      <c r="V345"/>
      <c r="W345"/>
      <c r="X345"/>
      <c r="Y345"/>
      <c r="Z345"/>
      <c r="AA345"/>
      <c r="AB345"/>
      <c r="AC345"/>
      <c r="AD345"/>
      <c r="AE345"/>
      <c r="AF345"/>
      <c r="AG345"/>
    </row>
    <row r="346" spans="1:33" s="5" customFormat="1" x14ac:dyDescent="0.2">
      <c r="A346" s="32"/>
      <c r="B346" s="30"/>
      <c r="C346" s="30"/>
      <c r="D346" s="30"/>
      <c r="E346" s="30"/>
      <c r="F346" s="30"/>
      <c r="G346" s="30"/>
      <c r="H346" s="30"/>
      <c r="I346" s="30"/>
      <c r="J346" s="30"/>
      <c r="K346" s="30"/>
      <c r="L346" s="31"/>
      <c r="N346"/>
      <c r="O346"/>
      <c r="P346"/>
      <c r="Q346"/>
      <c r="R346"/>
      <c r="S346"/>
      <c r="T346"/>
      <c r="U346"/>
      <c r="V346"/>
      <c r="W346"/>
      <c r="X346"/>
      <c r="Y346"/>
      <c r="Z346"/>
      <c r="AA346"/>
      <c r="AB346"/>
      <c r="AC346"/>
      <c r="AD346"/>
      <c r="AE346"/>
      <c r="AF346"/>
      <c r="AG346"/>
    </row>
    <row r="347" spans="1:33" s="5" customFormat="1" x14ac:dyDescent="0.2">
      <c r="A347" s="37" t="s">
        <v>101</v>
      </c>
      <c r="B347" s="30"/>
      <c r="C347" s="30"/>
      <c r="D347" s="30"/>
      <c r="E347" s="30"/>
      <c r="F347" s="30"/>
      <c r="G347" s="30"/>
      <c r="H347" s="30"/>
      <c r="I347" s="30"/>
      <c r="J347" s="30"/>
      <c r="K347" s="30"/>
      <c r="L347" s="31"/>
      <c r="N347"/>
      <c r="O347"/>
      <c r="P347"/>
      <c r="Q347"/>
      <c r="R347"/>
      <c r="S347"/>
      <c r="T347"/>
      <c r="U347"/>
      <c r="V347"/>
      <c r="W347"/>
      <c r="X347"/>
      <c r="Y347"/>
      <c r="Z347"/>
      <c r="AA347"/>
      <c r="AB347"/>
      <c r="AC347"/>
      <c r="AD347"/>
      <c r="AE347"/>
      <c r="AF347"/>
      <c r="AG347"/>
    </row>
    <row r="348" spans="1:33" s="5" customFormat="1" x14ac:dyDescent="0.2">
      <c r="A348" s="32"/>
      <c r="B348" s="30"/>
      <c r="C348" s="30"/>
      <c r="D348" s="30"/>
      <c r="E348" s="30"/>
      <c r="F348" s="30"/>
      <c r="G348" s="30"/>
      <c r="H348" s="30"/>
      <c r="I348" s="30"/>
      <c r="J348" s="30"/>
      <c r="K348" s="30"/>
      <c r="L348" s="31"/>
      <c r="N348"/>
      <c r="O348"/>
      <c r="P348"/>
      <c r="Q348"/>
      <c r="R348"/>
      <c r="S348"/>
      <c r="T348"/>
      <c r="U348"/>
      <c r="V348"/>
      <c r="W348"/>
      <c r="X348"/>
      <c r="Y348"/>
      <c r="Z348"/>
      <c r="AA348"/>
      <c r="AB348"/>
      <c r="AC348"/>
      <c r="AD348"/>
      <c r="AE348"/>
      <c r="AF348"/>
      <c r="AG348"/>
    </row>
    <row r="349" spans="1:33" s="5" customFormat="1" x14ac:dyDescent="0.2">
      <c r="A349" s="32"/>
      <c r="B349" s="30" t="s">
        <v>156</v>
      </c>
      <c r="C349" s="30"/>
      <c r="D349" s="30"/>
      <c r="E349" s="30"/>
      <c r="F349" s="30"/>
      <c r="G349" s="30"/>
      <c r="H349" s="80"/>
      <c r="I349" s="80"/>
      <c r="J349" s="80"/>
      <c r="K349" s="80"/>
      <c r="L349" s="31" t="s">
        <v>102</v>
      </c>
      <c r="N349"/>
      <c r="O349"/>
      <c r="P349"/>
      <c r="Q349"/>
      <c r="R349"/>
      <c r="S349"/>
      <c r="T349"/>
      <c r="U349"/>
      <c r="V349"/>
      <c r="W349"/>
      <c r="X349"/>
      <c r="Y349"/>
      <c r="Z349"/>
      <c r="AA349"/>
      <c r="AB349"/>
      <c r="AC349"/>
      <c r="AD349"/>
      <c r="AE349"/>
      <c r="AF349"/>
      <c r="AG349"/>
    </row>
    <row r="350" spans="1:33" s="5" customFormat="1" x14ac:dyDescent="0.2">
      <c r="A350" s="32"/>
      <c r="B350" s="30"/>
      <c r="C350" s="30"/>
      <c r="D350" s="30"/>
      <c r="E350" s="30"/>
      <c r="F350" s="30"/>
      <c r="G350" s="30"/>
      <c r="H350" s="80"/>
      <c r="I350" s="80"/>
      <c r="J350" s="80"/>
      <c r="K350" s="80"/>
      <c r="L350" s="31"/>
      <c r="N350"/>
      <c r="O350"/>
      <c r="P350"/>
      <c r="Q350"/>
      <c r="R350"/>
      <c r="S350"/>
      <c r="T350"/>
      <c r="U350"/>
      <c r="V350"/>
      <c r="W350"/>
      <c r="X350"/>
      <c r="Y350"/>
      <c r="Z350"/>
      <c r="AA350"/>
      <c r="AB350"/>
      <c r="AC350"/>
      <c r="AD350"/>
      <c r="AE350"/>
      <c r="AF350"/>
      <c r="AG350"/>
    </row>
    <row r="351" spans="1:33" s="5" customFormat="1" x14ac:dyDescent="0.2">
      <c r="A351" s="32"/>
      <c r="B351" s="30"/>
      <c r="C351" s="30"/>
      <c r="D351" s="30"/>
      <c r="E351" s="30"/>
      <c r="F351" s="30"/>
      <c r="G351" s="30"/>
      <c r="H351" s="80"/>
      <c r="I351" s="80"/>
      <c r="J351" s="80"/>
      <c r="K351" s="80"/>
      <c r="L351" s="31"/>
      <c r="N351"/>
      <c r="O351"/>
      <c r="P351"/>
      <c r="Q351"/>
      <c r="R351"/>
      <c r="S351"/>
      <c r="T351"/>
      <c r="U351"/>
      <c r="V351"/>
      <c r="W351"/>
      <c r="X351"/>
      <c r="Y351"/>
      <c r="Z351"/>
      <c r="AA351"/>
      <c r="AB351"/>
      <c r="AC351"/>
      <c r="AD351"/>
      <c r="AE351"/>
      <c r="AF351"/>
      <c r="AG351"/>
    </row>
    <row r="352" spans="1:33" s="5" customFormat="1" x14ac:dyDescent="0.2">
      <c r="A352" s="32"/>
      <c r="B352" s="30" t="s">
        <v>157</v>
      </c>
      <c r="C352" s="30"/>
      <c r="D352" s="30"/>
      <c r="E352" s="30"/>
      <c r="F352" s="30"/>
      <c r="G352" s="30"/>
      <c r="H352" s="80"/>
      <c r="I352" s="80"/>
      <c r="J352" s="80"/>
      <c r="K352" s="80"/>
      <c r="L352" s="31" t="s">
        <v>102</v>
      </c>
      <c r="N352"/>
      <c r="O352"/>
      <c r="P352"/>
      <c r="Q352"/>
      <c r="R352"/>
      <c r="S352"/>
      <c r="T352"/>
      <c r="U352"/>
      <c r="V352"/>
      <c r="W352"/>
      <c r="X352"/>
      <c r="Y352"/>
      <c r="Z352"/>
      <c r="AA352"/>
      <c r="AB352"/>
      <c r="AC352"/>
      <c r="AD352"/>
      <c r="AE352"/>
      <c r="AF352"/>
      <c r="AG352"/>
    </row>
    <row r="353" spans="1:33" s="5" customFormat="1" x14ac:dyDescent="0.2">
      <c r="A353" s="32"/>
      <c r="B353" s="30"/>
      <c r="C353" s="30"/>
      <c r="D353" s="30"/>
      <c r="E353" s="30"/>
      <c r="F353" s="30"/>
      <c r="G353" s="30"/>
      <c r="H353" s="80"/>
      <c r="I353" s="80"/>
      <c r="J353" s="80"/>
      <c r="K353" s="80"/>
      <c r="L353" s="31"/>
      <c r="N353"/>
      <c r="O353"/>
      <c r="P353"/>
      <c r="Q353"/>
      <c r="R353"/>
      <c r="S353"/>
      <c r="T353"/>
      <c r="U353"/>
      <c r="V353"/>
      <c r="W353"/>
      <c r="X353"/>
      <c r="Y353"/>
      <c r="Z353"/>
      <c r="AA353"/>
      <c r="AB353"/>
      <c r="AC353"/>
      <c r="AD353"/>
      <c r="AE353"/>
      <c r="AF353"/>
      <c r="AG353"/>
    </row>
    <row r="354" spans="1:33" s="5" customFormat="1" x14ac:dyDescent="0.2">
      <c r="A354" s="32"/>
      <c r="B354" s="30" t="s">
        <v>56</v>
      </c>
      <c r="C354" s="30"/>
      <c r="D354" s="30"/>
      <c r="E354" s="30"/>
      <c r="F354" s="30"/>
      <c r="G354" s="30"/>
      <c r="H354" s="80"/>
      <c r="I354" s="80"/>
      <c r="J354" s="80"/>
      <c r="K354" s="80"/>
      <c r="L354" s="31"/>
      <c r="N354"/>
      <c r="O354"/>
      <c r="P354"/>
      <c r="Q354"/>
      <c r="R354"/>
      <c r="S354"/>
      <c r="T354"/>
      <c r="U354"/>
      <c r="V354"/>
      <c r="W354"/>
      <c r="X354"/>
      <c r="Y354"/>
      <c r="Z354"/>
      <c r="AA354"/>
      <c r="AB354"/>
      <c r="AC354"/>
      <c r="AD354"/>
      <c r="AE354"/>
      <c r="AF354"/>
      <c r="AG354"/>
    </row>
    <row r="355" spans="1:33" s="5" customFormat="1" x14ac:dyDescent="0.2">
      <c r="A355" s="32"/>
      <c r="B355" s="30"/>
      <c r="C355" s="30"/>
      <c r="D355" s="94"/>
      <c r="E355" s="92">
        <f>F244</f>
        <v>0.75537854030501084</v>
      </c>
      <c r="F355" s="30"/>
      <c r="G355" s="30"/>
      <c r="H355" s="80"/>
      <c r="I355" s="80"/>
      <c r="J355" s="80"/>
      <c r="K355" s="80"/>
      <c r="L355" s="31"/>
      <c r="N355"/>
      <c r="O355"/>
      <c r="P355"/>
      <c r="Q355"/>
      <c r="R355"/>
      <c r="S355"/>
      <c r="T355"/>
      <c r="U355"/>
      <c r="V355"/>
      <c r="W355"/>
      <c r="X355"/>
      <c r="Y355"/>
      <c r="Z355"/>
      <c r="AA355"/>
      <c r="AB355"/>
      <c r="AC355"/>
      <c r="AD355"/>
      <c r="AE355"/>
      <c r="AF355"/>
      <c r="AG355"/>
    </row>
    <row r="356" spans="1:33" s="5" customFormat="1" x14ac:dyDescent="0.2">
      <c r="A356" s="32"/>
      <c r="B356" s="30"/>
      <c r="C356" s="30"/>
      <c r="D356" s="94"/>
      <c r="E356" s="30"/>
      <c r="F356" s="30"/>
      <c r="G356" s="30"/>
      <c r="H356" s="80"/>
      <c r="I356" s="80"/>
      <c r="J356" s="80"/>
      <c r="K356" s="80"/>
      <c r="L356" s="31"/>
      <c r="N356"/>
      <c r="O356"/>
      <c r="P356"/>
      <c r="Q356"/>
      <c r="R356"/>
      <c r="S356"/>
      <c r="T356"/>
      <c r="U356"/>
      <c r="V356"/>
      <c r="W356"/>
      <c r="X356"/>
      <c r="Y356"/>
      <c r="Z356"/>
      <c r="AA356"/>
      <c r="AB356"/>
      <c r="AC356"/>
      <c r="AD356"/>
      <c r="AE356"/>
      <c r="AF356"/>
      <c r="AG356"/>
    </row>
    <row r="357" spans="1:33" s="5" customFormat="1" x14ac:dyDescent="0.2">
      <c r="A357" s="32"/>
      <c r="B357" s="30"/>
      <c r="C357" s="30"/>
      <c r="D357" s="94"/>
      <c r="E357" s="92">
        <f>E141</f>
        <v>0.1</v>
      </c>
      <c r="F357" s="30"/>
      <c r="G357" s="30"/>
      <c r="H357" s="80"/>
      <c r="I357" s="80"/>
      <c r="J357" s="80"/>
      <c r="K357" s="80"/>
      <c r="L357" s="31"/>
      <c r="N357"/>
      <c r="O357"/>
      <c r="P357"/>
      <c r="Q357"/>
      <c r="R357"/>
      <c r="S357"/>
      <c r="T357"/>
      <c r="U357"/>
      <c r="V357"/>
      <c r="W357"/>
      <c r="X357"/>
      <c r="Y357"/>
      <c r="Z357"/>
      <c r="AA357"/>
      <c r="AB357"/>
      <c r="AC357"/>
      <c r="AD357"/>
      <c r="AE357"/>
      <c r="AF357"/>
      <c r="AG357"/>
    </row>
    <row r="358" spans="1:33" s="5" customFormat="1" x14ac:dyDescent="0.2">
      <c r="A358" s="32"/>
      <c r="B358" s="30"/>
      <c r="C358" s="30"/>
      <c r="D358" s="94"/>
      <c r="E358" s="30"/>
      <c r="F358" s="30"/>
      <c r="G358" s="30"/>
      <c r="H358" s="80"/>
      <c r="I358" s="80"/>
      <c r="J358" s="80"/>
      <c r="K358" s="80"/>
      <c r="L358" s="31"/>
      <c r="N358"/>
      <c r="O358"/>
      <c r="P358"/>
      <c r="Q358"/>
      <c r="R358"/>
      <c r="S358"/>
      <c r="T358"/>
      <c r="U358"/>
      <c r="V358"/>
      <c r="W358"/>
      <c r="X358"/>
      <c r="Y358"/>
      <c r="Z358"/>
      <c r="AA358"/>
      <c r="AB358"/>
      <c r="AC358"/>
      <c r="AD358"/>
      <c r="AE358"/>
      <c r="AF358"/>
      <c r="AG358"/>
    </row>
    <row r="359" spans="1:33" s="5" customFormat="1" x14ac:dyDescent="0.2">
      <c r="A359" s="32"/>
      <c r="B359" s="30"/>
      <c r="C359" s="30"/>
      <c r="D359" s="30"/>
      <c r="E359" s="30"/>
      <c r="F359" s="30"/>
      <c r="G359" s="30"/>
      <c r="H359" s="80"/>
      <c r="I359" s="80"/>
      <c r="J359" s="80"/>
      <c r="K359" s="80"/>
      <c r="L359" s="31"/>
      <c r="N359"/>
      <c r="O359"/>
      <c r="P359"/>
      <c r="Q359"/>
      <c r="R359"/>
      <c r="S359"/>
      <c r="T359"/>
      <c r="U359"/>
      <c r="V359"/>
      <c r="W359"/>
      <c r="X359"/>
      <c r="Y359"/>
      <c r="Z359"/>
      <c r="AA359"/>
      <c r="AB359"/>
      <c r="AC359"/>
      <c r="AD359"/>
      <c r="AE359"/>
      <c r="AF359"/>
      <c r="AG359"/>
    </row>
    <row r="360" spans="1:33" s="5" customFormat="1" x14ac:dyDescent="0.2">
      <c r="A360" s="32"/>
      <c r="B360" s="30"/>
      <c r="C360" s="30"/>
      <c r="D360" s="30" t="str">
        <f>TEXT(E355,"0.000")&amp;" / "&amp;TEXT(E24,"0.000")&amp;" = "</f>
        <v xml:space="preserve">0.755 / 2.625 = </v>
      </c>
      <c r="E360" s="30"/>
      <c r="F360" s="63">
        <f>E355/E24</f>
        <v>0.28776325344952791</v>
      </c>
      <c r="G360" s="30"/>
      <c r="H360" s="80"/>
      <c r="I360" s="80"/>
      <c r="J360" s="80"/>
      <c r="K360" s="80"/>
      <c r="L360" s="31"/>
      <c r="N360"/>
      <c r="O360"/>
      <c r="P360"/>
      <c r="Q360"/>
      <c r="R360"/>
      <c r="S360"/>
      <c r="T360"/>
      <c r="U360"/>
      <c r="V360"/>
      <c r="W360"/>
      <c r="X360"/>
      <c r="Y360"/>
      <c r="Z360"/>
      <c r="AA360"/>
      <c r="AB360"/>
      <c r="AC360"/>
      <c r="AD360"/>
      <c r="AE360"/>
      <c r="AF360"/>
      <c r="AG360"/>
    </row>
    <row r="361" spans="1:33" s="5" customFormat="1" x14ac:dyDescent="0.2">
      <c r="A361" s="32"/>
      <c r="B361" s="30"/>
      <c r="C361" s="30"/>
      <c r="D361" s="30"/>
      <c r="E361" s="30"/>
      <c r="F361" s="30"/>
      <c r="G361" s="30"/>
      <c r="H361" s="80"/>
      <c r="I361" s="80"/>
      <c r="J361" s="80"/>
      <c r="K361" s="80"/>
      <c r="L361" s="31"/>
      <c r="N361"/>
      <c r="O361"/>
      <c r="P361"/>
      <c r="Q361"/>
      <c r="R361"/>
      <c r="S361"/>
      <c r="T361"/>
      <c r="U361"/>
      <c r="V361"/>
      <c r="W361"/>
      <c r="X361"/>
      <c r="Y361"/>
      <c r="Z361"/>
      <c r="AA361"/>
      <c r="AB361"/>
      <c r="AC361"/>
      <c r="AD361"/>
      <c r="AE361"/>
      <c r="AF361"/>
      <c r="AG361"/>
    </row>
    <row r="362" spans="1:33" s="5" customFormat="1" x14ac:dyDescent="0.2">
      <c r="A362" s="32"/>
      <c r="B362" s="30"/>
      <c r="C362" s="30"/>
      <c r="D362" s="30"/>
      <c r="E362" s="30"/>
      <c r="F362" s="30"/>
      <c r="G362" s="30"/>
      <c r="H362" s="80"/>
      <c r="I362" s="80"/>
      <c r="J362" s="80"/>
      <c r="K362" s="80"/>
      <c r="L362" s="31"/>
      <c r="N362"/>
      <c r="O362"/>
      <c r="P362"/>
      <c r="Q362"/>
      <c r="R362"/>
      <c r="S362"/>
      <c r="T362"/>
      <c r="U362"/>
      <c r="V362"/>
      <c r="W362"/>
      <c r="X362"/>
      <c r="Y362"/>
      <c r="Z362"/>
      <c r="AA362"/>
      <c r="AB362"/>
      <c r="AC362"/>
      <c r="AD362"/>
      <c r="AE362"/>
      <c r="AF362"/>
      <c r="AG362"/>
    </row>
    <row r="363" spans="1:33" s="5" customFormat="1" x14ac:dyDescent="0.2">
      <c r="A363" s="32"/>
      <c r="B363" s="30"/>
      <c r="C363" s="30"/>
      <c r="D363" s="30" t="str">
        <f>TEXT(E357,"0.000")&amp;" / "&amp;TEXT(E24,"0.000")&amp;" = "</f>
        <v xml:space="preserve">0.100 / 2.625 = </v>
      </c>
      <c r="E363" s="30"/>
      <c r="F363" s="63">
        <f>E357/E24</f>
        <v>3.8095238095238099E-2</v>
      </c>
      <c r="G363" s="30"/>
      <c r="H363" s="80"/>
      <c r="I363" s="80"/>
      <c r="J363" s="80"/>
      <c r="K363" s="80"/>
      <c r="L363" s="31"/>
      <c r="N363"/>
      <c r="O363"/>
      <c r="P363"/>
      <c r="Q363"/>
      <c r="R363"/>
      <c r="S363"/>
      <c r="T363"/>
      <c r="U363"/>
      <c r="V363"/>
      <c r="W363"/>
      <c r="X363"/>
      <c r="Y363"/>
      <c r="Z363"/>
      <c r="AA363"/>
      <c r="AB363"/>
      <c r="AC363"/>
      <c r="AD363"/>
      <c r="AE363"/>
      <c r="AF363"/>
      <c r="AG363"/>
    </row>
    <row r="364" spans="1:33" s="5" customFormat="1" x14ac:dyDescent="0.2">
      <c r="A364" s="32"/>
      <c r="B364" s="30"/>
      <c r="C364" s="30"/>
      <c r="D364" s="30"/>
      <c r="E364" s="30"/>
      <c r="F364" s="30"/>
      <c r="G364" s="30"/>
      <c r="H364" s="30"/>
      <c r="I364" s="30"/>
      <c r="J364" s="30"/>
      <c r="K364" s="30"/>
      <c r="L364" s="31"/>
      <c r="N364"/>
      <c r="O364"/>
      <c r="P364"/>
      <c r="Q364"/>
      <c r="R364"/>
      <c r="S364"/>
      <c r="T364"/>
      <c r="U364"/>
      <c r="V364"/>
      <c r="W364"/>
      <c r="X364"/>
      <c r="Y364"/>
      <c r="Z364"/>
      <c r="AA364"/>
      <c r="AB364"/>
      <c r="AC364"/>
      <c r="AD364"/>
      <c r="AE364"/>
      <c r="AF364"/>
      <c r="AG364"/>
    </row>
    <row r="365" spans="1:33" s="5" customFormat="1" x14ac:dyDescent="0.2">
      <c r="A365" s="32"/>
      <c r="B365" s="30"/>
      <c r="C365" s="30"/>
      <c r="D365" s="30"/>
      <c r="E365" s="30"/>
      <c r="F365" s="30"/>
      <c r="G365" s="30"/>
      <c r="H365" s="30"/>
      <c r="I365" s="30"/>
      <c r="J365" s="30"/>
      <c r="K365" s="30"/>
      <c r="L365" s="31"/>
      <c r="N365"/>
      <c r="O365"/>
      <c r="P365"/>
      <c r="Q365"/>
      <c r="R365"/>
      <c r="S365"/>
      <c r="T365"/>
      <c r="U365"/>
      <c r="V365"/>
      <c r="W365"/>
      <c r="X365"/>
      <c r="Y365"/>
      <c r="Z365"/>
      <c r="AA365"/>
      <c r="AB365"/>
      <c r="AC365"/>
      <c r="AD365"/>
      <c r="AE365"/>
      <c r="AF365"/>
      <c r="AG365"/>
    </row>
    <row r="366" spans="1:33" s="5" customFormat="1" x14ac:dyDescent="0.2">
      <c r="A366" s="37" t="s">
        <v>104</v>
      </c>
      <c r="B366" s="30"/>
      <c r="C366" s="30"/>
      <c r="D366" s="30"/>
      <c r="E366" s="30"/>
      <c r="F366" s="30"/>
      <c r="G366" s="30"/>
      <c r="H366" s="30"/>
      <c r="I366" s="30"/>
      <c r="J366" s="30"/>
      <c r="K366" s="30"/>
      <c r="L366" s="31"/>
      <c r="N366"/>
      <c r="O366"/>
      <c r="P366"/>
      <c r="Q366"/>
      <c r="R366"/>
      <c r="S366"/>
      <c r="T366"/>
      <c r="U366"/>
      <c r="V366"/>
      <c r="W366"/>
      <c r="X366"/>
      <c r="Y366"/>
      <c r="Z366"/>
      <c r="AA366"/>
      <c r="AB366"/>
      <c r="AC366"/>
      <c r="AD366"/>
      <c r="AE366"/>
      <c r="AF366"/>
      <c r="AG366"/>
    </row>
    <row r="367" spans="1:33" s="5" customFormat="1" x14ac:dyDescent="0.2">
      <c r="A367" s="32"/>
      <c r="B367" s="30"/>
      <c r="C367" s="30"/>
      <c r="D367" s="30"/>
      <c r="E367" s="30"/>
      <c r="F367" s="30"/>
      <c r="G367" s="30"/>
      <c r="H367" s="30"/>
      <c r="I367" s="30"/>
      <c r="J367" s="30"/>
      <c r="K367" s="30"/>
      <c r="L367" s="31"/>
      <c r="N367"/>
      <c r="O367"/>
      <c r="P367"/>
      <c r="Q367"/>
      <c r="R367"/>
      <c r="S367"/>
      <c r="T367"/>
      <c r="U367"/>
      <c r="V367"/>
      <c r="W367"/>
      <c r="X367"/>
      <c r="Y367"/>
      <c r="Z367"/>
      <c r="AA367"/>
      <c r="AB367"/>
      <c r="AC367"/>
      <c r="AD367"/>
      <c r="AE367"/>
      <c r="AF367"/>
      <c r="AG367"/>
    </row>
    <row r="368" spans="1:33" s="5" customFormat="1" x14ac:dyDescent="0.2">
      <c r="A368" s="32"/>
      <c r="B368" s="30"/>
      <c r="C368" s="30"/>
      <c r="D368" s="30"/>
      <c r="E368" s="30"/>
      <c r="F368" s="30"/>
      <c r="G368" s="30"/>
      <c r="H368" s="30"/>
      <c r="I368" s="30"/>
      <c r="J368" s="30"/>
      <c r="K368" s="30"/>
      <c r="L368" s="31"/>
      <c r="N368"/>
      <c r="O368"/>
      <c r="P368"/>
      <c r="Q368"/>
      <c r="R368"/>
      <c r="S368"/>
      <c r="T368"/>
      <c r="U368"/>
      <c r="V368"/>
      <c r="W368"/>
      <c r="X368"/>
      <c r="Y368"/>
      <c r="Z368"/>
      <c r="AA368"/>
      <c r="AB368"/>
      <c r="AC368"/>
      <c r="AD368"/>
      <c r="AE368"/>
      <c r="AF368"/>
      <c r="AG368"/>
    </row>
    <row r="369" spans="1:33" s="5" customFormat="1" x14ac:dyDescent="0.2">
      <c r="A369" s="32"/>
      <c r="B369" s="30"/>
      <c r="C369" s="30"/>
      <c r="D369" s="30"/>
      <c r="E369" s="30"/>
      <c r="F369" s="30"/>
      <c r="G369" s="30"/>
      <c r="H369" s="30"/>
      <c r="I369" s="30"/>
      <c r="J369" s="30"/>
      <c r="K369" s="30"/>
      <c r="L369" s="31"/>
      <c r="N369"/>
      <c r="O369"/>
      <c r="P369"/>
      <c r="Q369"/>
      <c r="R369"/>
      <c r="S369"/>
      <c r="T369"/>
      <c r="U369"/>
      <c r="V369"/>
      <c r="W369"/>
      <c r="X369"/>
      <c r="Y369"/>
      <c r="Z369"/>
      <c r="AA369"/>
      <c r="AB369"/>
      <c r="AC369"/>
      <c r="AD369"/>
      <c r="AE369"/>
      <c r="AF369"/>
      <c r="AG369"/>
    </row>
    <row r="370" spans="1:33" s="5" customFormat="1" x14ac:dyDescent="0.2">
      <c r="A370" s="32"/>
      <c r="B370" s="30" t="str">
        <f>"= "&amp;TEXT(E319,"0.000")&amp;"+"&amp;TEXT(J340,"0.000")&amp;"+"&amp;TEXT(F360,"0")&amp;"+ 1.75("&amp;TEXT(E322,"0.000")&amp;"+"&amp;TEXT(I344,"0.000")&amp;"+"&amp;TEXT(F363,"0.000")&amp; ") ="</f>
        <v>= 1.296+0.160+0+ 1.75(0.389+0.240+0.038) =</v>
      </c>
      <c r="C370" s="30"/>
      <c r="D370" s="30"/>
      <c r="E370" s="30"/>
      <c r="F370" s="30"/>
      <c r="G370" s="47">
        <f>E319+J340+F360+1.75*(E322+I344+F363)</f>
        <v>2.9112817719680462</v>
      </c>
      <c r="H370" s="36" t="str">
        <f>IF(G370&gt;I370,"&gt;",IF(G370&lt;I370,"&lt;","="))</f>
        <v>&lt;</v>
      </c>
      <c r="I370" s="30">
        <v>5</v>
      </c>
      <c r="J370" s="32" t="str">
        <f>IF(G370&lt;=I370,"OK","FAILS")</f>
        <v>OK</v>
      </c>
      <c r="K370" s="30"/>
      <c r="L370" s="31"/>
      <c r="N370"/>
      <c r="O370"/>
      <c r="P370"/>
      <c r="Q370"/>
      <c r="R370"/>
      <c r="S370"/>
      <c r="T370"/>
      <c r="U370"/>
      <c r="V370"/>
      <c r="W370"/>
      <c r="X370"/>
      <c r="Y370"/>
      <c r="Z370"/>
      <c r="AA370"/>
      <c r="AB370"/>
      <c r="AC370"/>
      <c r="AD370"/>
      <c r="AE370"/>
      <c r="AF370"/>
      <c r="AG370"/>
    </row>
    <row r="371" spans="1:33" s="5" customFormat="1" x14ac:dyDescent="0.2">
      <c r="A371" s="32"/>
      <c r="B371" s="30"/>
      <c r="C371" s="30"/>
      <c r="D371" s="30"/>
      <c r="E371" s="30"/>
      <c r="F371" s="30"/>
      <c r="G371" s="30"/>
      <c r="H371" s="30"/>
      <c r="I371" s="30"/>
      <c r="J371" s="32"/>
      <c r="K371" s="30"/>
      <c r="L371" s="31"/>
      <c r="N371"/>
      <c r="O371"/>
      <c r="P371"/>
      <c r="Q371"/>
      <c r="R371"/>
      <c r="S371"/>
      <c r="T371"/>
      <c r="U371"/>
      <c r="V371"/>
      <c r="W371"/>
      <c r="X371"/>
      <c r="Y371"/>
      <c r="Z371"/>
      <c r="AA371"/>
      <c r="AB371"/>
      <c r="AC371"/>
      <c r="AD371"/>
      <c r="AE371"/>
      <c r="AF371"/>
      <c r="AG371"/>
    </row>
    <row r="372" spans="1:33" s="5" customFormat="1" x14ac:dyDescent="0.2">
      <c r="A372" s="32"/>
      <c r="B372" s="30"/>
      <c r="C372" s="30"/>
      <c r="D372" s="30"/>
      <c r="E372" s="30"/>
      <c r="F372" s="30"/>
      <c r="G372" s="63">
        <f>E319</f>
        <v>1.2962962962962963</v>
      </c>
      <c r="H372" s="36" t="str">
        <f>IF(G372&gt;I372,"&gt;",IF(G372&lt;I372,"&lt;","="))</f>
        <v>&lt;</v>
      </c>
      <c r="I372" s="30">
        <v>3</v>
      </c>
      <c r="J372" s="32" t="str">
        <f>IF(G372&lt;=I372,"OK","FAILS")</f>
        <v>OK</v>
      </c>
      <c r="K372" s="30"/>
      <c r="L372" s="31"/>
      <c r="N372"/>
      <c r="O372"/>
      <c r="P372"/>
      <c r="Q372"/>
      <c r="R372"/>
      <c r="S372"/>
      <c r="T372"/>
      <c r="U372"/>
      <c r="V372"/>
      <c r="W372"/>
      <c r="X372"/>
      <c r="Y372"/>
      <c r="Z372"/>
      <c r="AA372"/>
      <c r="AB372"/>
      <c r="AC372"/>
      <c r="AD372"/>
      <c r="AE372"/>
      <c r="AF372"/>
      <c r="AG372"/>
    </row>
    <row r="373" spans="1:33" s="5" customFormat="1" x14ac:dyDescent="0.2">
      <c r="A373" s="32"/>
      <c r="B373" s="30"/>
      <c r="C373" s="30"/>
      <c r="D373" s="30"/>
      <c r="E373" s="30"/>
      <c r="F373" s="30"/>
      <c r="G373" s="30"/>
      <c r="H373" s="30"/>
      <c r="I373" s="30"/>
      <c r="J373" s="30"/>
      <c r="K373" s="30"/>
      <c r="L373" s="31"/>
      <c r="N373"/>
      <c r="O373"/>
      <c r="P373"/>
      <c r="Q373"/>
      <c r="R373"/>
      <c r="S373"/>
      <c r="T373"/>
      <c r="U373"/>
      <c r="V373"/>
      <c r="W373"/>
      <c r="X373"/>
      <c r="Y373"/>
      <c r="Z373"/>
      <c r="AA373"/>
      <c r="AB373"/>
      <c r="AC373"/>
      <c r="AD373"/>
      <c r="AE373"/>
      <c r="AF373"/>
      <c r="AG373"/>
    </row>
    <row r="374" spans="1:33" s="5" customFormat="1" x14ac:dyDescent="0.2">
      <c r="A374" s="29" t="s">
        <v>23</v>
      </c>
      <c r="B374" s="30"/>
      <c r="C374" s="30"/>
      <c r="D374" s="30"/>
      <c r="E374" s="30"/>
      <c r="F374" s="30"/>
      <c r="G374" s="30"/>
      <c r="H374" s="30"/>
      <c r="I374" s="30"/>
      <c r="J374" s="30"/>
      <c r="K374" s="30"/>
      <c r="L374" s="31" t="s">
        <v>55</v>
      </c>
      <c r="N374"/>
      <c r="O374"/>
      <c r="P374"/>
      <c r="Q374"/>
      <c r="R374"/>
      <c r="S374"/>
      <c r="T374"/>
      <c r="U374"/>
      <c r="V374"/>
      <c r="W374"/>
      <c r="X374"/>
      <c r="Y374"/>
      <c r="Z374"/>
      <c r="AA374"/>
      <c r="AB374"/>
      <c r="AC374"/>
      <c r="AD374"/>
      <c r="AE374"/>
      <c r="AF374"/>
      <c r="AG374"/>
    </row>
    <row r="375" spans="1:33" s="5" customFormat="1" x14ac:dyDescent="0.2">
      <c r="A375" s="30" t="s">
        <v>63</v>
      </c>
      <c r="B375" s="30"/>
      <c r="C375" s="30"/>
      <c r="D375" s="30"/>
      <c r="E375" s="30"/>
      <c r="F375" s="30"/>
      <c r="G375" s="30"/>
      <c r="H375" s="30"/>
      <c r="I375" s="30"/>
      <c r="J375" s="30"/>
      <c r="K375" s="30"/>
      <c r="L375" s="31"/>
      <c r="N375"/>
      <c r="O375"/>
      <c r="P375"/>
      <c r="Q375"/>
      <c r="R375"/>
      <c r="S375"/>
      <c r="T375"/>
      <c r="U375"/>
      <c r="V375"/>
      <c r="W375"/>
      <c r="X375"/>
      <c r="Y375"/>
      <c r="Z375"/>
      <c r="AA375"/>
      <c r="AB375"/>
      <c r="AC375"/>
      <c r="AD375"/>
      <c r="AE375"/>
      <c r="AF375"/>
      <c r="AG375"/>
    </row>
    <row r="376" spans="1:33" s="5" customFormat="1" x14ac:dyDescent="0.2">
      <c r="A376" s="30"/>
      <c r="B376" s="30"/>
      <c r="C376" s="30"/>
      <c r="D376" s="30"/>
      <c r="E376" s="30"/>
      <c r="F376" s="30"/>
      <c r="G376" s="30"/>
      <c r="H376" s="30"/>
      <c r="I376" s="30"/>
      <c r="J376" s="30"/>
      <c r="K376" s="30"/>
      <c r="L376" s="31"/>
      <c r="N376"/>
      <c r="O376"/>
      <c r="P376"/>
      <c r="Q376"/>
      <c r="R376"/>
      <c r="S376"/>
      <c r="T376"/>
      <c r="U376"/>
      <c r="V376"/>
      <c r="W376"/>
      <c r="X376"/>
      <c r="Y376"/>
      <c r="Z376"/>
      <c r="AA376"/>
      <c r="AB376"/>
      <c r="AC376"/>
      <c r="AD376"/>
      <c r="AE376"/>
      <c r="AF376"/>
      <c r="AG376"/>
    </row>
    <row r="377" spans="1:33" s="5" customFormat="1" x14ac:dyDescent="0.2">
      <c r="A377" s="32"/>
      <c r="B377" s="30"/>
      <c r="C377" s="30"/>
      <c r="D377" s="30"/>
      <c r="E377" s="30"/>
      <c r="F377" s="73"/>
      <c r="G377" s="30"/>
      <c r="H377" s="30"/>
      <c r="I377" s="30"/>
      <c r="J377" s="30"/>
      <c r="K377" s="30"/>
      <c r="L377" s="31" t="s">
        <v>59</v>
      </c>
      <c r="N377"/>
      <c r="O377"/>
      <c r="P377"/>
      <c r="Q377"/>
      <c r="R377"/>
      <c r="S377"/>
      <c r="T377"/>
      <c r="U377"/>
      <c r="V377"/>
      <c r="W377"/>
      <c r="X377"/>
      <c r="Y377"/>
      <c r="Z377"/>
      <c r="AA377"/>
      <c r="AB377"/>
      <c r="AC377"/>
      <c r="AD377"/>
      <c r="AE377"/>
      <c r="AF377"/>
      <c r="AG377"/>
    </row>
    <row r="378" spans="1:33" s="5" customFormat="1" x14ac:dyDescent="0.2">
      <c r="A378" s="32"/>
      <c r="B378" s="34" t="s">
        <v>56</v>
      </c>
      <c r="C378" s="30"/>
      <c r="D378" s="30"/>
      <c r="E378" s="30"/>
      <c r="F378" s="30"/>
      <c r="G378" s="30"/>
      <c r="H378" s="30"/>
      <c r="I378" s="30"/>
      <c r="J378" s="30"/>
      <c r="K378" s="30"/>
      <c r="L378" s="31"/>
      <c r="N378"/>
      <c r="O378"/>
      <c r="P378"/>
      <c r="Q378"/>
      <c r="R378"/>
      <c r="S378"/>
      <c r="T378"/>
      <c r="U378"/>
      <c r="V378"/>
      <c r="W378"/>
      <c r="X378"/>
      <c r="Y378"/>
      <c r="Z378"/>
      <c r="AA378"/>
      <c r="AB378"/>
      <c r="AC378"/>
      <c r="AD378"/>
      <c r="AE378"/>
      <c r="AF378"/>
      <c r="AG378"/>
    </row>
    <row r="379" spans="1:33" s="5" customFormat="1" x14ac:dyDescent="0.2">
      <c r="A379" s="32"/>
      <c r="B379" s="34"/>
      <c r="C379" s="30"/>
      <c r="D379" s="30"/>
      <c r="E379" s="30"/>
      <c r="F379" s="30"/>
      <c r="G379" s="30"/>
      <c r="H379" s="30"/>
      <c r="I379" s="30"/>
      <c r="J379" s="30"/>
      <c r="K379" s="30"/>
      <c r="L379" s="31"/>
      <c r="N379"/>
      <c r="O379"/>
      <c r="P379"/>
      <c r="Q379"/>
      <c r="R379"/>
      <c r="S379"/>
      <c r="T379"/>
      <c r="U379"/>
      <c r="V379"/>
      <c r="W379"/>
      <c r="X379"/>
      <c r="Y379"/>
      <c r="Z379"/>
      <c r="AA379"/>
      <c r="AB379"/>
      <c r="AC379"/>
      <c r="AD379"/>
      <c r="AE379"/>
      <c r="AF379"/>
      <c r="AG379"/>
    </row>
    <row r="380" spans="1:33" s="5" customFormat="1" x14ac:dyDescent="0.2">
      <c r="A380" s="32"/>
      <c r="B380" s="30"/>
      <c r="C380" s="30"/>
      <c r="D380" s="30"/>
      <c r="E380" s="30"/>
      <c r="F380" s="73"/>
      <c r="G380" s="30"/>
      <c r="H380" s="30"/>
      <c r="I380" s="30"/>
      <c r="J380" s="30"/>
      <c r="K380" s="30"/>
      <c r="L380" s="31" t="s">
        <v>58</v>
      </c>
      <c r="N380"/>
      <c r="O380"/>
      <c r="P380"/>
      <c r="Q380"/>
      <c r="R380"/>
      <c r="S380"/>
      <c r="T380"/>
      <c r="U380"/>
      <c r="V380"/>
      <c r="W380"/>
      <c r="X380"/>
      <c r="Y380"/>
      <c r="Z380"/>
      <c r="AA380"/>
      <c r="AB380"/>
      <c r="AC380"/>
      <c r="AD380"/>
      <c r="AE380"/>
      <c r="AF380"/>
      <c r="AG380"/>
    </row>
    <row r="381" spans="1:33" s="5" customFormat="1" x14ac:dyDescent="0.2">
      <c r="A381" s="32"/>
      <c r="B381" s="30"/>
      <c r="C381" s="30"/>
      <c r="D381" s="30"/>
      <c r="E381" s="77" t="str">
        <f>"1.92*("&amp;TEXT(E24,"0.000")&amp;" / "&amp;TEXT(H389,"0.00")&amp;")"</f>
        <v>1.92*(2.625 / 10.00)</v>
      </c>
      <c r="F381" s="77"/>
      <c r="G381" s="77"/>
      <c r="H381" s="100" t="s">
        <v>57</v>
      </c>
      <c r="I381" s="31">
        <f>(1.92*E24/E17)/(SQRT(1+(2*H389)/H390))</f>
        <v>0.37222866872150212</v>
      </c>
      <c r="J381" s="30"/>
      <c r="K381" s="30"/>
      <c r="L381" s="31"/>
      <c r="N381"/>
      <c r="O381"/>
      <c r="P381"/>
      <c r="Q381"/>
      <c r="R381"/>
      <c r="S381"/>
      <c r="T381"/>
      <c r="U381"/>
      <c r="V381"/>
      <c r="W381"/>
      <c r="X381"/>
      <c r="Y381"/>
      <c r="Z381"/>
      <c r="AA381"/>
      <c r="AB381"/>
      <c r="AC381"/>
      <c r="AD381"/>
      <c r="AE381"/>
      <c r="AF381"/>
      <c r="AG381"/>
    </row>
    <row r="382" spans="1:33" s="5" customFormat="1" x14ac:dyDescent="0.2">
      <c r="A382" s="32"/>
      <c r="B382" s="30"/>
      <c r="C382" s="30"/>
      <c r="D382" s="30"/>
      <c r="E382" s="30" t="str">
        <f>"SQRT [ 1 + (2*"&amp;TEXT(H389,"0.00")&amp;") / " &amp;TEXT(H390,"0.00")&amp;"]"</f>
        <v>SQRT [ 1 + (2*10.00) / 24.00]</v>
      </c>
      <c r="F382" s="73"/>
      <c r="G382" s="30"/>
      <c r="H382" s="30"/>
      <c r="I382" s="30"/>
      <c r="J382" s="30"/>
      <c r="K382" s="30"/>
      <c r="L382" s="31"/>
      <c r="N382"/>
      <c r="O382"/>
      <c r="P382"/>
      <c r="Q382"/>
      <c r="R382"/>
      <c r="S382"/>
      <c r="T382"/>
      <c r="U382"/>
      <c r="V382"/>
      <c r="W382"/>
      <c r="X382"/>
      <c r="Y382"/>
      <c r="Z382"/>
      <c r="AA382"/>
      <c r="AB382"/>
      <c r="AC382"/>
      <c r="AD382"/>
      <c r="AE382"/>
      <c r="AF382"/>
      <c r="AG382"/>
    </row>
    <row r="383" spans="1:33" s="5" customFormat="1" x14ac:dyDescent="0.2">
      <c r="A383" s="32"/>
      <c r="B383" s="30"/>
      <c r="C383" s="30"/>
      <c r="D383" s="30"/>
      <c r="E383" s="30"/>
      <c r="F383" s="73"/>
      <c r="G383" s="30"/>
      <c r="H383" s="30"/>
      <c r="I383" s="30"/>
      <c r="J383" s="30"/>
      <c r="K383" s="30"/>
      <c r="L383" s="31"/>
      <c r="N383"/>
      <c r="O383"/>
      <c r="P383"/>
      <c r="Q383"/>
      <c r="R383"/>
      <c r="S383"/>
      <c r="T383"/>
      <c r="U383"/>
      <c r="V383"/>
      <c r="W383"/>
      <c r="X383"/>
      <c r="Y383"/>
      <c r="Z383"/>
      <c r="AA383"/>
      <c r="AB383"/>
      <c r="AC383"/>
      <c r="AD383"/>
      <c r="AE383"/>
      <c r="AF383"/>
      <c r="AG383"/>
    </row>
    <row r="384" spans="1:33" s="5" customFormat="1" x14ac:dyDescent="0.2">
      <c r="A384" s="32"/>
      <c r="B384" s="30"/>
      <c r="C384" s="30"/>
      <c r="D384" s="30"/>
      <c r="E384" s="30"/>
      <c r="F384" s="73"/>
      <c r="G384" s="30"/>
      <c r="H384" s="30"/>
      <c r="I384" s="30"/>
      <c r="J384" s="30"/>
      <c r="K384" s="30"/>
      <c r="L384" s="31" t="s">
        <v>60</v>
      </c>
      <c r="N384"/>
      <c r="O384"/>
      <c r="P384"/>
      <c r="Q384"/>
      <c r="R384"/>
      <c r="S384"/>
      <c r="T384"/>
      <c r="U384"/>
      <c r="V384"/>
      <c r="W384"/>
      <c r="X384"/>
      <c r="Y384"/>
      <c r="Z384"/>
      <c r="AA384"/>
      <c r="AB384"/>
      <c r="AC384"/>
      <c r="AD384"/>
      <c r="AE384"/>
      <c r="AF384"/>
      <c r="AG384"/>
    </row>
    <row r="385" spans="1:33" s="5" customFormat="1" x14ac:dyDescent="0.2">
      <c r="A385" s="32"/>
      <c r="B385" s="30"/>
      <c r="C385" s="30"/>
      <c r="D385" s="30"/>
      <c r="E385" s="30"/>
      <c r="F385" s="77">
        <v>2.67</v>
      </c>
      <c r="G385" s="101"/>
      <c r="H385" s="101"/>
      <c r="I385" s="102">
        <f>2.67/((I157+2)*(1+H389/(4*H390)))</f>
        <v>0.2669345748591031</v>
      </c>
      <c r="J385" s="30"/>
      <c r="K385" s="30"/>
      <c r="L385" s="31"/>
      <c r="N385"/>
      <c r="O385"/>
      <c r="P385"/>
      <c r="Q385"/>
      <c r="R385"/>
      <c r="S385"/>
      <c r="T385"/>
      <c r="U385"/>
      <c r="V385"/>
      <c r="W385"/>
      <c r="X385"/>
      <c r="Y385"/>
      <c r="Z385"/>
      <c r="AA385"/>
      <c r="AB385"/>
      <c r="AC385"/>
      <c r="AD385"/>
      <c r="AE385"/>
      <c r="AF385"/>
      <c r="AG385"/>
    </row>
    <row r="386" spans="1:33" s="5" customFormat="1" x14ac:dyDescent="0.2">
      <c r="A386" s="32"/>
      <c r="B386" s="30"/>
      <c r="C386" s="30"/>
      <c r="D386" s="30"/>
      <c r="E386" s="30"/>
      <c r="F386" s="73" t="str">
        <f>"("&amp;TEXT(I157,"0.00")&amp;"+2.0) * [1+"&amp;TEXT(H389,"0.00")&amp;" / (4.0*"&amp;TEXT(H390,"0.00")&amp;")]"</f>
        <v>(7.06+2.0) * [1+10.00 / (4.0*24.00)]</v>
      </c>
      <c r="G386" s="30"/>
      <c r="H386" s="30"/>
      <c r="I386" s="30"/>
      <c r="J386" s="30"/>
      <c r="K386" s="30"/>
      <c r="L386" s="31"/>
      <c r="N386"/>
      <c r="O386"/>
      <c r="P386"/>
      <c r="Q386"/>
      <c r="R386"/>
      <c r="S386"/>
      <c r="T386"/>
      <c r="U386"/>
      <c r="V386"/>
      <c r="W386"/>
      <c r="X386"/>
      <c r="Y386"/>
      <c r="Z386"/>
      <c r="AA386"/>
      <c r="AB386"/>
      <c r="AC386"/>
      <c r="AD386"/>
      <c r="AE386"/>
      <c r="AF386"/>
      <c r="AG386"/>
    </row>
    <row r="387" spans="1:33" s="5" customFormat="1" x14ac:dyDescent="0.2">
      <c r="A387" s="32"/>
      <c r="B387" s="30"/>
      <c r="C387" s="30"/>
      <c r="D387" s="30"/>
      <c r="E387" s="30"/>
      <c r="F387" s="30"/>
      <c r="G387" s="30"/>
      <c r="H387" s="30"/>
      <c r="I387" s="30"/>
      <c r="J387" s="30"/>
      <c r="K387" s="30"/>
      <c r="L387" s="31"/>
      <c r="N387"/>
      <c r="O387"/>
      <c r="P387"/>
      <c r="Q387"/>
      <c r="R387"/>
      <c r="S387"/>
      <c r="T387"/>
      <c r="U387"/>
      <c r="V387"/>
      <c r="W387"/>
      <c r="X387"/>
      <c r="Y387"/>
      <c r="Z387"/>
      <c r="AA387"/>
      <c r="AB387"/>
      <c r="AC387"/>
      <c r="AD387"/>
      <c r="AE387"/>
      <c r="AF387"/>
      <c r="AG387"/>
    </row>
    <row r="388" spans="1:33" s="5" customFormat="1" x14ac:dyDescent="0.2">
      <c r="A388" s="32"/>
      <c r="B388" s="30"/>
      <c r="C388" s="30"/>
      <c r="D388" s="30"/>
      <c r="E388" s="30"/>
      <c r="F388" s="30"/>
      <c r="G388" s="30"/>
      <c r="H388" s="30"/>
      <c r="I388" s="30"/>
      <c r="J388" s="30"/>
      <c r="K388" s="30"/>
      <c r="L388" s="31"/>
      <c r="N388"/>
      <c r="O388"/>
      <c r="P388"/>
      <c r="Q388"/>
      <c r="R388"/>
      <c r="S388"/>
      <c r="T388"/>
      <c r="U388"/>
      <c r="V388"/>
      <c r="W388"/>
      <c r="X388"/>
      <c r="Y388"/>
      <c r="Z388"/>
      <c r="AA388"/>
      <c r="AB388"/>
      <c r="AC388"/>
      <c r="AD388"/>
      <c r="AE388"/>
      <c r="AF388"/>
      <c r="AG388"/>
    </row>
    <row r="389" spans="1:33" s="5" customFormat="1" x14ac:dyDescent="0.2">
      <c r="A389" s="30"/>
      <c r="B389" s="44" t="s">
        <v>62</v>
      </c>
      <c r="C389" s="44"/>
      <c r="D389" s="44"/>
      <c r="E389" s="44"/>
      <c r="F389" s="44"/>
      <c r="G389" s="31" t="s">
        <v>64</v>
      </c>
      <c r="H389" s="73">
        <f>MIN(E16,E17)</f>
        <v>10</v>
      </c>
      <c r="I389" s="30"/>
      <c r="J389" s="30"/>
      <c r="K389" s="30"/>
      <c r="L389" s="31"/>
      <c r="N389"/>
      <c r="O389"/>
      <c r="P389"/>
      <c r="Q389"/>
      <c r="R389"/>
      <c r="S389"/>
      <c r="T389"/>
      <c r="U389"/>
      <c r="V389"/>
      <c r="W389"/>
      <c r="X389"/>
      <c r="Y389"/>
      <c r="Z389"/>
      <c r="AA389"/>
      <c r="AB389"/>
      <c r="AC389"/>
      <c r="AD389"/>
      <c r="AE389"/>
      <c r="AF389"/>
      <c r="AG389"/>
    </row>
    <row r="390" spans="1:33" s="5" customFormat="1" x14ac:dyDescent="0.2">
      <c r="A390" s="30"/>
      <c r="B390" s="44"/>
      <c r="C390" s="44"/>
      <c r="D390" s="44"/>
      <c r="E390" s="44"/>
      <c r="F390" s="44"/>
      <c r="G390" s="31" t="s">
        <v>65</v>
      </c>
      <c r="H390" s="73">
        <f>MAX(E16,E17)</f>
        <v>24</v>
      </c>
      <c r="I390" s="30"/>
      <c r="J390" s="30"/>
      <c r="K390" s="30"/>
      <c r="L390" s="31"/>
      <c r="N390"/>
      <c r="O390"/>
      <c r="P390"/>
      <c r="Q390"/>
      <c r="R390"/>
      <c r="S390"/>
      <c r="T390"/>
      <c r="U390"/>
      <c r="V390"/>
      <c r="W390"/>
      <c r="X390"/>
      <c r="Y390"/>
      <c r="Z390"/>
      <c r="AA390"/>
      <c r="AB390"/>
      <c r="AC390"/>
      <c r="AD390"/>
      <c r="AE390"/>
      <c r="AF390"/>
      <c r="AG390"/>
    </row>
    <row r="391" spans="1:33" s="5" customFormat="1" x14ac:dyDescent="0.2">
      <c r="A391" s="32"/>
      <c r="B391" s="30"/>
      <c r="C391" s="30"/>
      <c r="D391" s="73"/>
      <c r="E391" s="30"/>
      <c r="F391" s="30"/>
      <c r="G391" s="30"/>
      <c r="H391" s="30"/>
      <c r="I391" s="30"/>
      <c r="J391" s="30"/>
      <c r="K391" s="30"/>
      <c r="L391" s="31"/>
      <c r="N391"/>
      <c r="O391"/>
      <c r="P391"/>
      <c r="Q391"/>
      <c r="R391"/>
      <c r="S391"/>
      <c r="T391"/>
      <c r="U391"/>
      <c r="V391"/>
      <c r="W391"/>
      <c r="X391"/>
      <c r="Y391"/>
      <c r="Z391"/>
      <c r="AA391"/>
      <c r="AB391"/>
      <c r="AC391"/>
      <c r="AD391"/>
      <c r="AE391"/>
      <c r="AF391"/>
      <c r="AG391"/>
    </row>
    <row r="392" spans="1:33" s="5" customFormat="1" x14ac:dyDescent="0.2">
      <c r="A392" s="32"/>
      <c r="B392" s="41" t="s">
        <v>16</v>
      </c>
      <c r="C392" s="103"/>
      <c r="D392" s="73" t="str">
        <f>"2*"&amp;TEXT(I381,"0.00")&amp;" = "</f>
        <v xml:space="preserve">2*0.37 = </v>
      </c>
      <c r="E392" s="36">
        <f>2*I381</f>
        <v>0.74445733744300424</v>
      </c>
      <c r="F392" s="104" t="str">
        <f>IF(E392&lt;+G392,"&lt;",IF(E392&gt;G392,"&gt;","="))</f>
        <v>&gt;</v>
      </c>
      <c r="G392" s="36">
        <f>I385</f>
        <v>0.2669345748591031</v>
      </c>
      <c r="H392" s="30" t="str">
        <f>" = B"</f>
        <v xml:space="preserve"> = B</v>
      </c>
      <c r="I392" s="32" t="str">
        <f>IF(E392&lt;=G392,"OK","FAILS")</f>
        <v>FAILS</v>
      </c>
      <c r="J392" s="30"/>
      <c r="K392" s="30"/>
      <c r="L392" s="31"/>
      <c r="N392"/>
      <c r="O392"/>
      <c r="P392"/>
      <c r="Q392"/>
      <c r="R392"/>
      <c r="S392"/>
      <c r="T392"/>
      <c r="U392"/>
      <c r="V392"/>
      <c r="W392"/>
      <c r="X392"/>
      <c r="Y392"/>
      <c r="Z392"/>
      <c r="AA392"/>
      <c r="AB392"/>
      <c r="AC392"/>
      <c r="AD392"/>
      <c r="AE392"/>
      <c r="AF392"/>
      <c r="AG392"/>
    </row>
    <row r="393" spans="1:33" s="5" customFormat="1" x14ac:dyDescent="0.2">
      <c r="A393" s="32"/>
      <c r="B393" s="41"/>
      <c r="C393" s="103"/>
      <c r="D393" s="73"/>
      <c r="E393" s="36"/>
      <c r="F393" s="104"/>
      <c r="G393" s="36"/>
      <c r="H393" s="30"/>
      <c r="I393" s="30"/>
      <c r="J393" s="30"/>
      <c r="K393" s="30"/>
      <c r="L393" s="31"/>
      <c r="N393"/>
      <c r="O393"/>
      <c r="P393"/>
      <c r="Q393"/>
      <c r="R393"/>
      <c r="S393"/>
      <c r="T393"/>
      <c r="U393"/>
      <c r="V393"/>
      <c r="W393"/>
      <c r="X393"/>
      <c r="Y393"/>
      <c r="Z393"/>
      <c r="AA393"/>
      <c r="AB393"/>
      <c r="AC393"/>
      <c r="AD393"/>
      <c r="AE393"/>
      <c r="AF393"/>
      <c r="AG393"/>
    </row>
    <row r="394" spans="1:33" s="5" customFormat="1" x14ac:dyDescent="0.2">
      <c r="A394" s="35" t="s">
        <v>183</v>
      </c>
      <c r="B394" s="35"/>
      <c r="C394" s="35"/>
      <c r="D394" s="35"/>
      <c r="E394" s="35"/>
      <c r="F394" s="35"/>
      <c r="G394" s="35"/>
      <c r="H394" s="35"/>
      <c r="I394" s="35"/>
      <c r="J394" s="35"/>
      <c r="K394" s="35"/>
      <c r="L394" s="35"/>
      <c r="N394"/>
      <c r="O394"/>
      <c r="P394"/>
      <c r="Q394"/>
      <c r="R394"/>
      <c r="S394"/>
      <c r="T394"/>
      <c r="U394"/>
      <c r="V394"/>
      <c r="W394"/>
      <c r="X394"/>
      <c r="Y394"/>
      <c r="Z394"/>
      <c r="AA394"/>
      <c r="AB394"/>
      <c r="AC394"/>
      <c r="AD394"/>
      <c r="AE394"/>
      <c r="AF394"/>
      <c r="AG394"/>
    </row>
    <row r="395" spans="1:33" s="5" customFormat="1" x14ac:dyDescent="0.2">
      <c r="A395" s="30"/>
      <c r="B395" s="30"/>
      <c r="C395" s="30"/>
      <c r="D395" s="30"/>
      <c r="E395" s="30"/>
      <c r="F395" s="30"/>
      <c r="G395" s="30"/>
      <c r="H395" s="30"/>
      <c r="I395" s="30"/>
      <c r="J395" s="30"/>
      <c r="K395" s="30"/>
      <c r="L395" s="31"/>
      <c r="N395"/>
      <c r="O395"/>
      <c r="P395"/>
      <c r="Q395"/>
      <c r="R395"/>
      <c r="S395"/>
      <c r="T395"/>
      <c r="U395"/>
      <c r="V395"/>
      <c r="W395"/>
      <c r="X395"/>
      <c r="Y395"/>
      <c r="Z395"/>
      <c r="AA395"/>
      <c r="AB395"/>
      <c r="AC395"/>
      <c r="AD395"/>
      <c r="AE395"/>
      <c r="AF395"/>
      <c r="AG395"/>
    </row>
    <row r="396" spans="1:33" s="5" customFormat="1" ht="12.75" customHeight="1" x14ac:dyDescent="0.2">
      <c r="A396" s="37" t="s">
        <v>66</v>
      </c>
      <c r="B396" s="30"/>
      <c r="C396" s="30"/>
      <c r="D396" s="30"/>
      <c r="E396" s="30"/>
      <c r="F396" s="30"/>
      <c r="G396" s="30"/>
      <c r="H396" s="30"/>
      <c r="I396" s="30"/>
      <c r="J396" s="30"/>
      <c r="K396" s="30"/>
      <c r="L396" s="31"/>
      <c r="N396"/>
      <c r="O396"/>
      <c r="P396"/>
      <c r="Q396"/>
      <c r="R396"/>
      <c r="S396"/>
      <c r="T396"/>
      <c r="U396"/>
      <c r="V396"/>
      <c r="W396"/>
      <c r="X396"/>
      <c r="Y396"/>
      <c r="Z396"/>
      <c r="AA396"/>
      <c r="AB396"/>
      <c r="AC396"/>
      <c r="AD396"/>
      <c r="AE396"/>
      <c r="AF396"/>
      <c r="AG396"/>
    </row>
    <row r="397" spans="1:33" s="5" customFormat="1" ht="12.75" customHeight="1" x14ac:dyDescent="0.2">
      <c r="A397" s="30" t="s">
        <v>69</v>
      </c>
      <c r="B397" s="30"/>
      <c r="C397" s="30"/>
      <c r="D397" s="30"/>
      <c r="E397" s="30"/>
      <c r="F397" s="30"/>
      <c r="G397" s="30"/>
      <c r="H397" s="30"/>
      <c r="I397" s="30"/>
      <c r="J397" s="30"/>
      <c r="K397" s="30"/>
      <c r="L397" s="31"/>
      <c r="N397"/>
      <c r="O397"/>
      <c r="P397"/>
      <c r="Q397"/>
      <c r="R397"/>
      <c r="S397"/>
      <c r="T397"/>
      <c r="U397"/>
      <c r="V397"/>
      <c r="W397"/>
      <c r="X397"/>
      <c r="Y397"/>
      <c r="Z397"/>
      <c r="AA397"/>
      <c r="AB397"/>
      <c r="AC397"/>
      <c r="AD397"/>
      <c r="AE397"/>
      <c r="AF397"/>
      <c r="AG397"/>
    </row>
    <row r="398" spans="1:33" s="5" customFormat="1" ht="12.75" customHeight="1" x14ac:dyDescent="0.2">
      <c r="A398" s="30"/>
      <c r="B398" s="30"/>
      <c r="C398" s="30"/>
      <c r="D398" s="30"/>
      <c r="E398" s="30"/>
      <c r="F398" s="30"/>
      <c r="G398" s="30"/>
      <c r="H398" s="30"/>
      <c r="I398" s="30"/>
      <c r="J398" s="30"/>
      <c r="K398" s="30"/>
      <c r="L398" s="31"/>
      <c r="N398"/>
      <c r="O398"/>
      <c r="P398"/>
      <c r="Q398"/>
      <c r="R398"/>
      <c r="S398"/>
      <c r="T398"/>
      <c r="U398"/>
      <c r="V398"/>
      <c r="W398"/>
      <c r="X398"/>
      <c r="Y398"/>
      <c r="Z398"/>
      <c r="AA398"/>
      <c r="AB398"/>
      <c r="AC398"/>
      <c r="AD398"/>
      <c r="AE398"/>
      <c r="AF398"/>
      <c r="AG398"/>
    </row>
    <row r="399" spans="1:33" x14ac:dyDescent="0.2">
      <c r="A399" s="30"/>
      <c r="B399" s="30"/>
      <c r="C399" s="30"/>
      <c r="D399" s="77" t="str">
        <f>TEXT(E40,"0.00")&amp;"*"&amp;TEXT(I157,"0.00")</f>
        <v>0.13*7.06</v>
      </c>
      <c r="E399" s="77"/>
      <c r="F399" s="105">
        <f>(E40*I157)/(2*I381-I385)</f>
        <v>1.8847269083677856</v>
      </c>
      <c r="G399" s="44" t="s">
        <v>3</v>
      </c>
      <c r="H399" s="30"/>
      <c r="I399" s="30"/>
      <c r="J399" s="30"/>
      <c r="K399" s="30"/>
      <c r="L399" s="31" t="s">
        <v>67</v>
      </c>
    </row>
    <row r="400" spans="1:33" x14ac:dyDescent="0.2">
      <c r="A400" s="30"/>
      <c r="B400" s="30"/>
      <c r="C400" s="30"/>
      <c r="D400" s="34" t="str">
        <f>"2*"&amp;TEXT(I381,"0.00")&amp;" -"&amp;TEXT(I385,"0.00")</f>
        <v>2*0.37 -0.27</v>
      </c>
      <c r="E400" s="34"/>
      <c r="F400" s="105"/>
      <c r="G400" s="44"/>
      <c r="H400" s="30"/>
      <c r="I400" s="30"/>
      <c r="J400" s="30"/>
      <c r="K400" s="30"/>
      <c r="L400" s="31"/>
    </row>
    <row r="401" spans="1:33" s="5" customFormat="1" ht="12.75" customHeight="1" x14ac:dyDescent="0.2">
      <c r="A401" s="30"/>
      <c r="B401" s="30"/>
      <c r="C401" s="30"/>
      <c r="D401" s="30"/>
      <c r="E401" s="30"/>
      <c r="F401" s="30"/>
      <c r="G401" s="30"/>
      <c r="H401" s="30"/>
      <c r="I401" s="30"/>
      <c r="J401" s="30"/>
      <c r="K401" s="30"/>
      <c r="L401" s="31"/>
      <c r="N401"/>
      <c r="O401"/>
      <c r="P401"/>
      <c r="Q401"/>
      <c r="R401"/>
      <c r="S401"/>
      <c r="T401"/>
      <c r="U401"/>
      <c r="V401"/>
      <c r="W401"/>
      <c r="X401"/>
      <c r="Y401"/>
      <c r="Z401"/>
      <c r="AA401"/>
      <c r="AB401"/>
      <c r="AC401"/>
      <c r="AD401"/>
      <c r="AE401"/>
      <c r="AF401"/>
      <c r="AG401"/>
    </row>
    <row r="402" spans="1:33" x14ac:dyDescent="0.2">
      <c r="A402" s="37"/>
      <c r="B402" s="41" t="s">
        <v>16</v>
      </c>
      <c r="C402" s="30"/>
      <c r="D402" s="106">
        <f>G163</f>
        <v>1.0833333333333333</v>
      </c>
      <c r="E402" s="36" t="str">
        <f>IF(D402&lt;+F402,"&lt;",IF(D402&gt;F402,"&gt;","="))</f>
        <v>&lt;</v>
      </c>
      <c r="F402" s="30">
        <f>F399</f>
        <v>1.8847269083677856</v>
      </c>
      <c r="G402" s="30" t="s">
        <v>3</v>
      </c>
      <c r="H402" s="32" t="str">
        <f>IF(OR(I381-I385&lt;0,D402&lt;=F402),"OK","FAILS")</f>
        <v>OK</v>
      </c>
      <c r="I402" s="32" t="str">
        <f>IF(H402="OK", "Bearing is Stable", "Unstable")</f>
        <v>Bearing is Stable</v>
      </c>
      <c r="J402" s="30"/>
      <c r="K402" s="30"/>
      <c r="L402" s="31"/>
    </row>
    <row r="403" spans="1:33" x14ac:dyDescent="0.2">
      <c r="A403" s="37"/>
      <c r="B403" s="41"/>
      <c r="C403" s="30"/>
      <c r="D403" s="106"/>
      <c r="E403" s="36"/>
      <c r="F403" s="30"/>
      <c r="G403" s="30"/>
      <c r="H403" s="30"/>
      <c r="I403" s="30"/>
      <c r="J403" s="30"/>
      <c r="K403" s="30"/>
      <c r="L403" s="31"/>
    </row>
    <row r="404" spans="1:33" x14ac:dyDescent="0.2">
      <c r="A404" s="30" t="s">
        <v>183</v>
      </c>
      <c r="B404" s="41"/>
      <c r="C404" s="30"/>
      <c r="D404" s="106"/>
      <c r="E404" s="36"/>
      <c r="F404" s="30"/>
      <c r="G404" s="30"/>
      <c r="H404" s="30"/>
      <c r="I404" s="30"/>
      <c r="J404" s="30"/>
      <c r="K404" s="30"/>
      <c r="L404" s="31"/>
    </row>
    <row r="405" spans="1:33" x14ac:dyDescent="0.2">
      <c r="A405" s="30"/>
      <c r="B405" s="30"/>
      <c r="C405" s="30"/>
      <c r="D405" s="30"/>
      <c r="E405" s="30"/>
      <c r="F405" s="30"/>
      <c r="G405" s="30"/>
      <c r="H405" s="30"/>
      <c r="I405" s="30"/>
      <c r="J405" s="30"/>
      <c r="K405" s="30"/>
      <c r="L405" s="31"/>
    </row>
    <row r="406" spans="1:33" x14ac:dyDescent="0.2">
      <c r="A406" s="37" t="s">
        <v>68</v>
      </c>
      <c r="B406" s="30"/>
      <c r="C406" s="30"/>
      <c r="D406" s="30"/>
      <c r="E406" s="30"/>
      <c r="F406" s="30"/>
      <c r="G406" s="30"/>
      <c r="H406" s="30"/>
      <c r="I406" s="30"/>
      <c r="J406" s="30"/>
      <c r="K406" s="30"/>
      <c r="L406" s="31"/>
    </row>
    <row r="407" spans="1:33" x14ac:dyDescent="0.2">
      <c r="A407" s="30" t="s">
        <v>69</v>
      </c>
      <c r="B407" s="30"/>
      <c r="C407" s="30"/>
      <c r="D407" s="30"/>
      <c r="E407" s="30"/>
      <c r="F407" s="30"/>
      <c r="G407" s="30"/>
      <c r="H407" s="30"/>
      <c r="I407" s="30"/>
      <c r="J407" s="30"/>
      <c r="K407" s="30"/>
      <c r="L407" s="31"/>
    </row>
    <row r="408" spans="1:33" x14ac:dyDescent="0.2">
      <c r="A408" s="30"/>
      <c r="B408" s="30"/>
      <c r="C408" s="30"/>
      <c r="D408" s="30"/>
      <c r="E408" s="30"/>
      <c r="F408" s="30"/>
      <c r="G408" s="30"/>
      <c r="H408" s="30"/>
      <c r="I408" s="30"/>
      <c r="J408" s="30"/>
      <c r="K408" s="30"/>
      <c r="L408" s="31"/>
    </row>
    <row r="409" spans="1:33" x14ac:dyDescent="0.2">
      <c r="A409" s="30"/>
      <c r="B409" s="30"/>
      <c r="C409" s="30"/>
      <c r="D409" s="77" t="str">
        <f>TEXT(E40,"0.00")&amp;"*"&amp;TEXT(I157,"0.00")</f>
        <v>0.13*7.06</v>
      </c>
      <c r="E409" s="77"/>
      <c r="F409" s="107">
        <f>(E40*I157)/(I381-I385)</f>
        <v>8.547487964293067</v>
      </c>
      <c r="G409" s="44" t="s">
        <v>3</v>
      </c>
      <c r="H409" s="30"/>
      <c r="I409" s="30"/>
      <c r="J409" s="30"/>
      <c r="K409" s="30"/>
      <c r="L409" s="31" t="s">
        <v>184</v>
      </c>
    </row>
    <row r="410" spans="1:33" x14ac:dyDescent="0.2">
      <c r="A410" s="30"/>
      <c r="B410" s="30"/>
      <c r="C410" s="30"/>
      <c r="D410" s="34" t="str">
        <f>TEXT(I381,"0.00")&amp;" -"&amp;TEXT(I385,"0.00")</f>
        <v>0.37 -0.27</v>
      </c>
      <c r="E410" s="34"/>
      <c r="F410" s="107"/>
      <c r="G410" s="44"/>
      <c r="H410" s="30"/>
      <c r="I410" s="30"/>
      <c r="J410" s="30"/>
      <c r="K410" s="30"/>
      <c r="L410" s="31"/>
    </row>
    <row r="411" spans="1:33" x14ac:dyDescent="0.2">
      <c r="A411" s="30"/>
      <c r="B411" s="30"/>
      <c r="C411" s="30"/>
      <c r="D411" s="30"/>
      <c r="E411" s="30"/>
      <c r="F411" s="30"/>
      <c r="G411" s="30"/>
      <c r="H411" s="30"/>
      <c r="I411" s="30"/>
      <c r="J411" s="30"/>
      <c r="K411" s="30"/>
      <c r="L411" s="31"/>
    </row>
    <row r="412" spans="1:33" x14ac:dyDescent="0.2">
      <c r="A412" s="30"/>
      <c r="B412" s="30"/>
      <c r="C412" s="30"/>
      <c r="D412" s="30"/>
      <c r="E412" s="30"/>
      <c r="F412" s="30"/>
      <c r="G412" s="30"/>
      <c r="H412" s="30"/>
      <c r="I412" s="30"/>
      <c r="J412" s="30"/>
      <c r="K412" s="30"/>
      <c r="L412" s="31"/>
    </row>
    <row r="413" spans="1:33" x14ac:dyDescent="0.2">
      <c r="A413" s="30"/>
      <c r="B413" s="41" t="s">
        <v>16</v>
      </c>
      <c r="C413" s="30"/>
      <c r="D413" s="106">
        <f>G163</f>
        <v>1.0833333333333333</v>
      </c>
      <c r="E413" s="36" t="str">
        <f>IF(D413&lt;+F413,"&lt;",IF(D413&gt;F413,"&gt;","="))</f>
        <v>&lt;</v>
      </c>
      <c r="F413" s="30">
        <f>F409</f>
        <v>8.547487964293067</v>
      </c>
      <c r="G413" s="30" t="s">
        <v>3</v>
      </c>
      <c r="H413" s="32" t="str">
        <f>IF(OR(D413&lt;=F413,D413,0),"OK","FAILS")</f>
        <v>OK</v>
      </c>
      <c r="I413" s="32" t="str">
        <f>IF(H413="OK", "Bearing is Stable", "Unstable")</f>
        <v>Bearing is Stable</v>
      </c>
      <c r="J413" s="30"/>
      <c r="K413" s="30"/>
      <c r="L413" s="31"/>
    </row>
    <row r="414" spans="1:33" x14ac:dyDescent="0.2">
      <c r="A414" s="30"/>
      <c r="B414" s="30"/>
      <c r="C414" s="30"/>
      <c r="D414" s="30"/>
      <c r="E414" s="30"/>
      <c r="F414" s="30"/>
      <c r="G414" s="30"/>
      <c r="H414" s="30"/>
      <c r="I414" s="30"/>
      <c r="J414" s="30"/>
      <c r="K414" s="30"/>
      <c r="L414" s="31"/>
    </row>
    <row r="415" spans="1:33" x14ac:dyDescent="0.2">
      <c r="A415" s="30"/>
      <c r="B415" s="30"/>
      <c r="C415" s="30"/>
      <c r="D415" s="30"/>
      <c r="E415" s="30"/>
      <c r="F415" s="30"/>
      <c r="G415" s="30"/>
      <c r="H415" s="30"/>
      <c r="I415" s="30"/>
      <c r="J415" s="30"/>
      <c r="K415" s="30"/>
      <c r="L415" s="31"/>
    </row>
    <row r="416" spans="1:33" x14ac:dyDescent="0.2">
      <c r="A416" s="29" t="s">
        <v>70</v>
      </c>
      <c r="B416" s="30"/>
      <c r="C416" s="30"/>
      <c r="D416" s="30"/>
      <c r="E416" s="30"/>
      <c r="F416" s="30"/>
      <c r="G416" s="30"/>
      <c r="H416" s="30"/>
      <c r="I416" s="30"/>
      <c r="J416" s="30"/>
      <c r="K416" s="30"/>
      <c r="L416" s="31" t="s">
        <v>80</v>
      </c>
    </row>
    <row r="417" spans="1:33" x14ac:dyDescent="0.2">
      <c r="A417" s="44" t="s">
        <v>193</v>
      </c>
      <c r="B417" s="44"/>
      <c r="C417" s="44"/>
      <c r="D417" s="44"/>
      <c r="E417" s="44"/>
      <c r="F417" s="44"/>
      <c r="G417" s="44"/>
      <c r="H417" s="44"/>
      <c r="I417" s="44"/>
      <c r="J417" s="44"/>
      <c r="K417" s="44"/>
      <c r="L417" s="44"/>
    </row>
    <row r="418" spans="1:33" x14ac:dyDescent="0.2">
      <c r="A418" s="44"/>
      <c r="B418" s="44"/>
      <c r="C418" s="44"/>
      <c r="D418" s="44"/>
      <c r="E418" s="44"/>
      <c r="F418" s="44"/>
      <c r="G418" s="44"/>
      <c r="H418" s="44"/>
      <c r="I418" s="44"/>
      <c r="J418" s="44"/>
      <c r="K418" s="44"/>
      <c r="L418" s="44"/>
    </row>
    <row r="419" spans="1:33" x14ac:dyDescent="0.2">
      <c r="A419" s="30"/>
      <c r="B419" s="30"/>
      <c r="C419" s="30"/>
      <c r="D419" s="30"/>
      <c r="E419" s="30"/>
      <c r="F419" s="30"/>
      <c r="G419" s="30"/>
      <c r="H419" s="30"/>
      <c r="I419" s="30"/>
      <c r="J419" s="30"/>
      <c r="K419" s="30"/>
      <c r="L419" s="31"/>
    </row>
    <row r="420" spans="1:33" x14ac:dyDescent="0.2">
      <c r="A420" s="30"/>
      <c r="B420" s="30" t="s">
        <v>73</v>
      </c>
      <c r="C420" s="30"/>
      <c r="D420" s="30"/>
      <c r="E420" s="30"/>
      <c r="F420" s="30"/>
      <c r="G420" s="30"/>
      <c r="H420" s="30"/>
      <c r="I420" s="30"/>
      <c r="J420" s="30"/>
      <c r="K420" s="30"/>
      <c r="L420" s="31"/>
    </row>
    <row r="421" spans="1:33" x14ac:dyDescent="0.2">
      <c r="A421" s="30"/>
      <c r="B421" s="30"/>
      <c r="C421" s="30"/>
      <c r="D421" s="30"/>
      <c r="E421" s="30"/>
      <c r="F421" s="30"/>
      <c r="G421" s="30"/>
      <c r="H421" s="30"/>
      <c r="I421" s="30"/>
      <c r="J421" s="30"/>
      <c r="K421" s="30"/>
      <c r="L421" s="31"/>
    </row>
    <row r="422" spans="1:33" x14ac:dyDescent="0.2">
      <c r="A422" s="30"/>
      <c r="B422" s="30"/>
      <c r="C422" s="30"/>
      <c r="D422" s="30"/>
      <c r="E422" s="30"/>
      <c r="F422" s="30"/>
      <c r="G422" s="30"/>
      <c r="H422" s="30"/>
      <c r="I422" s="30"/>
      <c r="J422" s="30"/>
      <c r="K422" s="30"/>
      <c r="L422" s="31"/>
    </row>
    <row r="423" spans="1:33" x14ac:dyDescent="0.2">
      <c r="A423" s="30"/>
      <c r="B423" s="30" t="s">
        <v>17</v>
      </c>
      <c r="C423" s="30"/>
      <c r="D423" s="30"/>
      <c r="E423" s="30"/>
      <c r="F423" s="30"/>
      <c r="G423" s="30"/>
      <c r="H423" s="30"/>
      <c r="I423" s="30"/>
      <c r="J423" s="30"/>
      <c r="K423" s="30"/>
      <c r="L423" s="31"/>
    </row>
    <row r="424" spans="1:33" x14ac:dyDescent="0.2">
      <c r="A424" s="30"/>
      <c r="B424" s="108"/>
      <c r="C424" s="30" t="s">
        <v>77</v>
      </c>
      <c r="D424" s="30"/>
      <c r="E424" s="30"/>
      <c r="F424" s="30"/>
      <c r="G424" s="30"/>
      <c r="H424" s="30"/>
      <c r="I424" s="30"/>
      <c r="J424" s="30"/>
      <c r="K424" s="30"/>
      <c r="L424" s="31"/>
    </row>
    <row r="425" spans="1:33" x14ac:dyDescent="0.2">
      <c r="A425" s="30"/>
      <c r="B425" s="109"/>
      <c r="C425" s="30"/>
      <c r="D425" s="30"/>
      <c r="E425" s="30"/>
      <c r="F425" s="30"/>
      <c r="G425" s="30"/>
      <c r="H425" s="30"/>
      <c r="I425" s="30"/>
      <c r="J425" s="30"/>
      <c r="K425" s="30"/>
      <c r="L425" s="31"/>
    </row>
    <row r="426" spans="1:33" ht="12.75" customHeight="1" x14ac:dyDescent="0.2">
      <c r="A426" s="30"/>
      <c r="B426" s="109"/>
      <c r="C426" s="30"/>
      <c r="D426" s="30"/>
      <c r="E426" s="77" t="str">
        <f>+"3*"&amp;TEXT(E20,"0.000")&amp;"*"&amp;TEXT(G163,"0.00")</f>
        <v>3*0.500*1.08</v>
      </c>
      <c r="F426" s="77"/>
      <c r="G426" s="99">
        <f>3*E20*G163/E46</f>
        <v>4.5138888888888888E-2</v>
      </c>
      <c r="H426" s="30" t="s">
        <v>4</v>
      </c>
      <c r="I426" s="30"/>
      <c r="J426" s="30"/>
      <c r="K426" s="30"/>
      <c r="L426" s="31" t="s">
        <v>71</v>
      </c>
    </row>
    <row r="427" spans="1:33" x14ac:dyDescent="0.2">
      <c r="A427" s="30"/>
      <c r="B427" s="109"/>
      <c r="C427" s="30"/>
      <c r="D427" s="30"/>
      <c r="E427" s="34" t="str">
        <f>TEXT(E46,"0")</f>
        <v>36</v>
      </c>
      <c r="F427" s="34"/>
      <c r="G427" s="30"/>
      <c r="H427" s="30"/>
      <c r="I427" s="30"/>
      <c r="J427" s="30"/>
      <c r="K427" s="30"/>
      <c r="L427" s="31"/>
    </row>
    <row r="428" spans="1:33" x14ac:dyDescent="0.2">
      <c r="A428" s="30"/>
      <c r="B428" s="30"/>
      <c r="C428" s="30"/>
      <c r="D428" s="30"/>
      <c r="E428" s="30"/>
      <c r="F428" s="30"/>
      <c r="G428" s="30"/>
      <c r="H428" s="30"/>
      <c r="I428" s="30"/>
      <c r="J428" s="30"/>
      <c r="K428" s="30"/>
      <c r="L428" s="31"/>
    </row>
    <row r="429" spans="1:33" x14ac:dyDescent="0.2">
      <c r="A429" s="30"/>
      <c r="B429" s="47" t="s">
        <v>17</v>
      </c>
      <c r="C429" s="30"/>
      <c r="D429" s="30"/>
      <c r="E429" s="30"/>
      <c r="F429" s="30"/>
      <c r="G429" s="30"/>
      <c r="H429" s="30"/>
      <c r="I429" s="30"/>
      <c r="J429" s="30"/>
      <c r="K429" s="30"/>
      <c r="L429" s="31"/>
    </row>
    <row r="430" spans="1:33" x14ac:dyDescent="0.2">
      <c r="A430" s="30"/>
      <c r="B430" s="36"/>
      <c r="C430" s="30" t="s">
        <v>78</v>
      </c>
      <c r="D430" s="30"/>
      <c r="E430" s="30"/>
      <c r="F430" s="30"/>
      <c r="G430" s="30"/>
      <c r="H430" s="30"/>
      <c r="I430" s="30"/>
      <c r="J430" s="30"/>
      <c r="K430" s="30"/>
      <c r="L430" s="31"/>
    </row>
    <row r="431" spans="1:33" s="5" customFormat="1" ht="12.75" customHeight="1" x14ac:dyDescent="0.2">
      <c r="A431" s="30"/>
      <c r="B431" s="30"/>
      <c r="C431" s="30"/>
      <c r="D431" s="30"/>
      <c r="E431" s="30"/>
      <c r="F431" s="30"/>
      <c r="G431" s="30"/>
      <c r="H431" s="30"/>
      <c r="I431" s="30"/>
      <c r="J431" s="30"/>
      <c r="K431" s="30"/>
      <c r="L431" s="31"/>
      <c r="N431"/>
      <c r="O431"/>
      <c r="P431"/>
      <c r="Q431"/>
      <c r="R431"/>
      <c r="S431"/>
      <c r="T431"/>
      <c r="U431"/>
      <c r="V431"/>
      <c r="W431"/>
      <c r="X431"/>
      <c r="Y431"/>
      <c r="Z431"/>
      <c r="AA431"/>
      <c r="AB431"/>
      <c r="AC431"/>
      <c r="AD431"/>
      <c r="AE431"/>
      <c r="AF431"/>
      <c r="AG431"/>
    </row>
    <row r="432" spans="1:33" x14ac:dyDescent="0.2">
      <c r="A432" s="30"/>
      <c r="B432" s="30"/>
      <c r="C432" s="30"/>
      <c r="D432" s="30"/>
      <c r="E432" s="77" t="str">
        <f>"2*"&amp;TEXT(E20,"0.000")&amp;"*"&amp;TEXT(G168,"0.00")</f>
        <v>2*0.500*0.25</v>
      </c>
      <c r="F432" s="77"/>
      <c r="G432" s="99">
        <f>(2*E20*G168)/E47</f>
        <v>1.0416666666666666E-2</v>
      </c>
      <c r="H432" s="30" t="s">
        <v>4</v>
      </c>
      <c r="I432" s="30"/>
      <c r="J432" s="30"/>
      <c r="K432" s="30"/>
      <c r="L432" s="31" t="s">
        <v>72</v>
      </c>
    </row>
    <row r="433" spans="1:33" x14ac:dyDescent="0.2">
      <c r="A433" s="30"/>
      <c r="B433" s="30"/>
      <c r="C433" s="30"/>
      <c r="D433" s="30"/>
      <c r="E433" s="110">
        <f>E47</f>
        <v>24</v>
      </c>
      <c r="F433" s="110"/>
      <c r="G433" s="30"/>
      <c r="H433" s="30"/>
      <c r="I433" s="30"/>
      <c r="J433" s="30"/>
      <c r="K433" s="30"/>
      <c r="L433" s="31"/>
    </row>
    <row r="434" spans="1:33" x14ac:dyDescent="0.2">
      <c r="A434" s="30"/>
      <c r="B434" s="30"/>
      <c r="C434" s="30"/>
      <c r="D434" s="30"/>
      <c r="E434" s="30"/>
      <c r="F434" s="30"/>
      <c r="G434" s="30"/>
      <c r="H434" s="30"/>
      <c r="I434" s="30"/>
      <c r="J434" s="30"/>
      <c r="K434" s="30"/>
      <c r="L434" s="31"/>
    </row>
    <row r="435" spans="1:33" x14ac:dyDescent="0.2">
      <c r="A435" s="30"/>
      <c r="B435" s="41" t="s">
        <v>16</v>
      </c>
      <c r="C435" s="30"/>
      <c r="D435" s="30"/>
      <c r="E435" s="30"/>
      <c r="F435" s="30"/>
      <c r="G435" s="30"/>
      <c r="H435" s="30"/>
      <c r="I435" s="30"/>
      <c r="J435" s="30"/>
      <c r="K435" s="30"/>
      <c r="L435" s="31"/>
    </row>
    <row r="436" spans="1:33" x14ac:dyDescent="0.2">
      <c r="A436" s="30"/>
      <c r="B436" s="30"/>
      <c r="C436" s="30"/>
      <c r="D436" s="111">
        <f>E21</f>
        <v>0.125</v>
      </c>
      <c r="E436" s="36" t="str">
        <f>IF(D436&gt;F436,"&gt;",IF(D436&lt;F436,"&lt;","="))</f>
        <v>&gt;</v>
      </c>
      <c r="F436" s="112">
        <f>0.0625</f>
        <v>6.25E-2</v>
      </c>
      <c r="G436" s="30"/>
      <c r="H436" s="32" t="str">
        <f>IF(D436&gt;=F436,"OK","FAILS")</f>
        <v>OK</v>
      </c>
      <c r="I436" s="30"/>
      <c r="J436" s="30"/>
      <c r="K436" s="30"/>
      <c r="L436" s="31"/>
    </row>
    <row r="437" spans="1:33" x14ac:dyDescent="0.2">
      <c r="A437" s="30"/>
      <c r="B437" s="30"/>
      <c r="C437" s="30"/>
      <c r="D437" s="30"/>
      <c r="E437" s="30"/>
      <c r="F437" s="30"/>
      <c r="G437" s="30"/>
      <c r="H437" s="32"/>
      <c r="I437" s="30"/>
      <c r="J437" s="30"/>
      <c r="K437" s="30"/>
      <c r="L437" s="31"/>
    </row>
    <row r="438" spans="1:33" s="5" customFormat="1" ht="12.75" customHeight="1" x14ac:dyDescent="0.2">
      <c r="A438" s="30"/>
      <c r="B438" s="30"/>
      <c r="C438" s="30"/>
      <c r="D438" s="111">
        <f>E21</f>
        <v>0.125</v>
      </c>
      <c r="E438" s="36" t="str">
        <f>IF(D438&lt;F438,"&lt;",IF(D438&gt;F438,"&gt;","="))</f>
        <v>&gt;</v>
      </c>
      <c r="F438" s="94">
        <f>G426</f>
        <v>4.5138888888888888E-2</v>
      </c>
      <c r="G438" s="30"/>
      <c r="H438" s="32" t="str">
        <f>IF(D438&gt;=F438,"OK","FAILS")</f>
        <v>OK</v>
      </c>
      <c r="I438" s="30"/>
      <c r="J438" s="30"/>
      <c r="K438" s="30"/>
      <c r="L438" s="31"/>
      <c r="N438"/>
      <c r="O438"/>
      <c r="P438"/>
      <c r="Q438"/>
      <c r="R438"/>
      <c r="S438"/>
      <c r="T438"/>
      <c r="U438"/>
      <c r="V438"/>
      <c r="W438"/>
      <c r="X438"/>
      <c r="Y438"/>
      <c r="Z438"/>
      <c r="AA438"/>
      <c r="AB438"/>
      <c r="AC438"/>
      <c r="AD438"/>
      <c r="AE438"/>
      <c r="AF438"/>
      <c r="AG438"/>
    </row>
    <row r="439" spans="1:33" s="5" customFormat="1" x14ac:dyDescent="0.2">
      <c r="A439" s="30"/>
      <c r="B439" s="30"/>
      <c r="C439" s="30"/>
      <c r="D439" s="30"/>
      <c r="E439" s="30"/>
      <c r="F439" s="30"/>
      <c r="G439" s="30"/>
      <c r="H439" s="32"/>
      <c r="I439" s="30"/>
      <c r="J439" s="30"/>
      <c r="K439" s="30"/>
      <c r="L439" s="31"/>
      <c r="N439"/>
      <c r="O439"/>
      <c r="P439"/>
      <c r="Q439"/>
      <c r="R439"/>
      <c r="S439"/>
      <c r="T439"/>
      <c r="U439"/>
      <c r="V439"/>
      <c r="W439"/>
      <c r="X439"/>
      <c r="Y439"/>
      <c r="Z439"/>
      <c r="AA439"/>
      <c r="AB439"/>
      <c r="AC439"/>
      <c r="AD439"/>
      <c r="AE439"/>
      <c r="AF439"/>
      <c r="AG439"/>
    </row>
    <row r="440" spans="1:33" s="5" customFormat="1" x14ac:dyDescent="0.2">
      <c r="A440" s="30"/>
      <c r="B440" s="30"/>
      <c r="C440" s="30"/>
      <c r="D440" s="111">
        <f>E21</f>
        <v>0.125</v>
      </c>
      <c r="E440" s="36" t="str">
        <f>IF(D440&lt;F440,"&lt;",IF(D440&gt;F440,"&gt;","="))</f>
        <v>&gt;</v>
      </c>
      <c r="F440" s="94">
        <f>G432</f>
        <v>1.0416666666666666E-2</v>
      </c>
      <c r="G440" s="30"/>
      <c r="H440" s="32" t="str">
        <f>IF(D440&gt;=F440,"OK","FAILS")</f>
        <v>OK</v>
      </c>
      <c r="I440" s="30"/>
      <c r="J440" s="30"/>
      <c r="K440" s="30"/>
      <c r="L440" s="31"/>
      <c r="N440"/>
      <c r="O440"/>
      <c r="P440"/>
      <c r="Q440"/>
      <c r="R440"/>
      <c r="S440"/>
      <c r="T440"/>
      <c r="U440"/>
      <c r="V440"/>
      <c r="W440"/>
      <c r="X440"/>
      <c r="Y440"/>
      <c r="Z440"/>
      <c r="AA440"/>
      <c r="AB440"/>
      <c r="AC440"/>
      <c r="AD440"/>
      <c r="AE440"/>
      <c r="AF440"/>
      <c r="AG440"/>
    </row>
    <row r="441" spans="1:33" s="5" customFormat="1" x14ac:dyDescent="0.2">
      <c r="A441" s="30"/>
      <c r="B441" s="30"/>
      <c r="C441" s="30"/>
      <c r="D441" s="30"/>
      <c r="E441" s="30"/>
      <c r="F441" s="30"/>
      <c r="G441" s="30"/>
      <c r="H441" s="30"/>
      <c r="I441" s="30"/>
      <c r="J441" s="30"/>
      <c r="K441" s="30"/>
      <c r="L441" s="31"/>
      <c r="N441"/>
      <c r="O441"/>
      <c r="P441"/>
      <c r="Q441"/>
      <c r="R441"/>
      <c r="S441"/>
      <c r="T441"/>
      <c r="U441"/>
      <c r="V441"/>
      <c r="W441"/>
      <c r="X441"/>
      <c r="Y441"/>
      <c r="Z441"/>
      <c r="AA441"/>
      <c r="AB441"/>
      <c r="AC441"/>
      <c r="AD441"/>
      <c r="AE441"/>
      <c r="AF441"/>
      <c r="AG441"/>
    </row>
    <row r="442" spans="1:33" x14ac:dyDescent="0.2">
      <c r="A442" s="29" t="s">
        <v>105</v>
      </c>
      <c r="B442" s="30"/>
      <c r="C442" s="30"/>
      <c r="D442" s="30"/>
      <c r="E442" s="30"/>
      <c r="F442" s="30"/>
      <c r="G442" s="30"/>
      <c r="H442" s="30"/>
      <c r="I442" s="30"/>
      <c r="J442" s="30"/>
      <c r="K442" s="30"/>
      <c r="L442" s="31" t="s">
        <v>106</v>
      </c>
    </row>
    <row r="443" spans="1:33" s="5" customFormat="1" ht="12.75" customHeight="1" x14ac:dyDescent="0.2">
      <c r="A443" s="44" t="s">
        <v>158</v>
      </c>
      <c r="B443" s="44"/>
      <c r="C443" s="44"/>
      <c r="D443" s="44"/>
      <c r="E443" s="44"/>
      <c r="F443" s="44"/>
      <c r="G443" s="44"/>
      <c r="H443" s="44"/>
      <c r="I443" s="44"/>
      <c r="J443" s="44"/>
      <c r="K443" s="44"/>
      <c r="L443" s="44"/>
      <c r="N443"/>
      <c r="O443"/>
      <c r="P443"/>
      <c r="Q443"/>
      <c r="R443"/>
      <c r="S443"/>
      <c r="T443"/>
      <c r="U443"/>
      <c r="V443"/>
      <c r="W443"/>
      <c r="X443"/>
      <c r="Y443"/>
      <c r="Z443"/>
      <c r="AA443"/>
      <c r="AB443"/>
      <c r="AC443"/>
      <c r="AD443"/>
      <c r="AE443"/>
      <c r="AF443"/>
      <c r="AG443"/>
    </row>
    <row r="444" spans="1:33" s="5" customFormat="1" ht="12.75" customHeight="1" x14ac:dyDescent="0.2">
      <c r="A444" s="44"/>
      <c r="B444" s="44"/>
      <c r="C444" s="44"/>
      <c r="D444" s="44"/>
      <c r="E444" s="44"/>
      <c r="F444" s="44"/>
      <c r="G444" s="44"/>
      <c r="H444" s="44"/>
      <c r="I444" s="44"/>
      <c r="J444" s="44"/>
      <c r="K444" s="44"/>
      <c r="L444" s="44"/>
      <c r="N444"/>
      <c r="O444"/>
      <c r="P444"/>
      <c r="Q444"/>
      <c r="R444"/>
      <c r="S444"/>
      <c r="T444"/>
      <c r="U444"/>
      <c r="V444"/>
      <c r="W444"/>
      <c r="X444"/>
      <c r="Y444"/>
      <c r="Z444"/>
      <c r="AA444"/>
      <c r="AB444"/>
      <c r="AC444"/>
      <c r="AD444"/>
      <c r="AE444"/>
      <c r="AF444"/>
      <c r="AG444"/>
    </row>
    <row r="445" spans="1:33" x14ac:dyDescent="0.2">
      <c r="A445" s="30"/>
      <c r="B445" s="30"/>
      <c r="C445" s="30"/>
      <c r="D445" s="30"/>
      <c r="E445" s="30"/>
      <c r="F445" s="30"/>
      <c r="G445" s="30"/>
      <c r="H445" s="30"/>
      <c r="I445" s="30"/>
      <c r="J445" s="30"/>
      <c r="K445" s="30"/>
      <c r="L445" s="31"/>
    </row>
    <row r="446" spans="1:33" s="5" customFormat="1" ht="15" customHeight="1" x14ac:dyDescent="0.2">
      <c r="A446" s="30"/>
      <c r="B446" s="30"/>
      <c r="C446" s="30"/>
      <c r="D446" s="30"/>
      <c r="E446" s="30"/>
      <c r="F446" s="30"/>
      <c r="G446" s="30"/>
      <c r="H446" s="30"/>
      <c r="I446" s="30"/>
      <c r="J446" s="30"/>
      <c r="K446" s="30"/>
      <c r="L446" s="31" t="s">
        <v>107</v>
      </c>
      <c r="N446"/>
      <c r="O446"/>
      <c r="P446"/>
      <c r="Q446"/>
      <c r="R446"/>
      <c r="S446"/>
      <c r="T446"/>
      <c r="U446"/>
      <c r="V446"/>
      <c r="W446"/>
      <c r="X446"/>
      <c r="Y446"/>
      <c r="Z446"/>
      <c r="AA446"/>
      <c r="AB446"/>
      <c r="AC446"/>
      <c r="AD446"/>
      <c r="AE446"/>
      <c r="AF446"/>
      <c r="AG446"/>
    </row>
    <row r="447" spans="1:33" s="5" customFormat="1" ht="12.75" customHeight="1" x14ac:dyDescent="0.2">
      <c r="A447" s="30"/>
      <c r="B447" s="30"/>
      <c r="C447" s="30"/>
      <c r="D447" s="30"/>
      <c r="E447" s="30"/>
      <c r="F447" s="30"/>
      <c r="G447" s="30"/>
      <c r="H447" s="30"/>
      <c r="I447" s="30"/>
      <c r="J447" s="30"/>
      <c r="K447" s="30"/>
      <c r="L447" s="31"/>
      <c r="N447"/>
      <c r="O447"/>
      <c r="P447"/>
      <c r="Q447"/>
      <c r="R447"/>
      <c r="S447"/>
      <c r="T447"/>
      <c r="U447"/>
      <c r="V447"/>
      <c r="W447"/>
      <c r="X447"/>
      <c r="Y447"/>
      <c r="Z447"/>
      <c r="AA447"/>
      <c r="AB447"/>
      <c r="AC447"/>
      <c r="AD447"/>
      <c r="AE447"/>
      <c r="AF447"/>
      <c r="AG447"/>
    </row>
    <row r="448" spans="1:33" x14ac:dyDescent="0.2">
      <c r="A448" s="30"/>
      <c r="B448" s="30" t="s">
        <v>56</v>
      </c>
      <c r="C448" s="30"/>
      <c r="D448" s="30"/>
      <c r="E448" s="30"/>
      <c r="F448" s="30"/>
      <c r="G448" s="30"/>
      <c r="H448" s="30"/>
      <c r="I448" s="30"/>
      <c r="J448" s="30"/>
      <c r="K448" s="30"/>
      <c r="L448" s="31"/>
    </row>
    <row r="449" spans="1:33" x14ac:dyDescent="0.2">
      <c r="A449" s="30"/>
      <c r="B449" s="30"/>
      <c r="C449" s="30" t="s">
        <v>109</v>
      </c>
      <c r="D449" s="30"/>
      <c r="E449" s="30"/>
      <c r="F449" s="30"/>
      <c r="G449" s="30"/>
      <c r="H449" s="30"/>
      <c r="I449" s="30"/>
      <c r="J449" s="30"/>
      <c r="K449" s="30"/>
      <c r="L449" s="31"/>
    </row>
    <row r="450" spans="1:33" x14ac:dyDescent="0.2">
      <c r="A450" s="30"/>
      <c r="B450" s="30"/>
      <c r="C450" s="30" t="s">
        <v>108</v>
      </c>
      <c r="D450" s="30"/>
      <c r="E450" s="30"/>
      <c r="F450" s="30"/>
      <c r="G450" s="30"/>
      <c r="H450" s="30"/>
      <c r="I450" s="30"/>
      <c r="J450" s="30"/>
      <c r="K450" s="30"/>
      <c r="L450" s="31"/>
    </row>
    <row r="451" spans="1:33" s="5" customFormat="1" x14ac:dyDescent="0.2">
      <c r="A451" s="30"/>
      <c r="B451" s="30"/>
      <c r="C451" s="30"/>
      <c r="D451" s="30"/>
      <c r="E451" s="30"/>
      <c r="F451" s="30"/>
      <c r="G451" s="30"/>
      <c r="H451" s="30"/>
      <c r="I451" s="30"/>
      <c r="J451" s="30"/>
      <c r="K451" s="30"/>
      <c r="L451" s="31"/>
      <c r="M451" s="7"/>
      <c r="N451"/>
      <c r="O451"/>
      <c r="P451"/>
      <c r="Q451"/>
      <c r="R451"/>
      <c r="S451"/>
      <c r="T451"/>
      <c r="U451"/>
      <c r="V451"/>
      <c r="W451"/>
      <c r="X451"/>
      <c r="Y451"/>
      <c r="Z451"/>
      <c r="AA451"/>
      <c r="AB451"/>
      <c r="AC451"/>
      <c r="AD451"/>
      <c r="AE451"/>
      <c r="AF451"/>
      <c r="AG451"/>
    </row>
    <row r="452" spans="1:33" s="5" customFormat="1" ht="12.75" customHeight="1" x14ac:dyDescent="0.2">
      <c r="A452" s="30"/>
      <c r="B452" s="30"/>
      <c r="C452" s="30"/>
      <c r="D452" s="30"/>
      <c r="E452" s="30"/>
      <c r="F452" s="30"/>
      <c r="G452" s="30"/>
      <c r="H452" s="30"/>
      <c r="I452" s="30"/>
      <c r="J452" s="30"/>
      <c r="K452" s="30"/>
      <c r="L452" s="31"/>
      <c r="M452" s="7"/>
      <c r="N452"/>
      <c r="O452"/>
      <c r="P452"/>
      <c r="Q452"/>
      <c r="R452"/>
      <c r="S452"/>
      <c r="T452"/>
      <c r="U452"/>
      <c r="V452"/>
      <c r="W452"/>
      <c r="X452"/>
      <c r="Y452"/>
      <c r="Z452"/>
      <c r="AA452"/>
      <c r="AB452"/>
      <c r="AC452"/>
      <c r="AD452"/>
      <c r="AE452"/>
      <c r="AF452"/>
      <c r="AG452"/>
    </row>
    <row r="453" spans="1:33" x14ac:dyDescent="0.2">
      <c r="A453" s="30"/>
      <c r="B453" s="30"/>
      <c r="C453" s="30"/>
      <c r="D453" s="30"/>
      <c r="E453" s="30"/>
      <c r="F453" s="30"/>
      <c r="G453" s="30"/>
      <c r="H453" s="30"/>
      <c r="I453" s="30"/>
      <c r="J453" s="30"/>
      <c r="K453" s="30"/>
      <c r="L453" s="31"/>
    </row>
    <row r="454" spans="1:33" x14ac:dyDescent="0.2">
      <c r="A454" s="30"/>
      <c r="B454" s="31" t="s">
        <v>57</v>
      </c>
      <c r="C454" s="30" t="str">
        <f>TEXT(E111,"0.000")&amp;"+"&amp;TEXT(E117,"0.000")&amp;" + "&amp;"1.75*"&amp;TEXT(E112,"0.000")&amp;"="</f>
        <v>-0.001+0.005 + 1.75*0.006=</v>
      </c>
      <c r="D454" s="30"/>
      <c r="E454" s="30"/>
      <c r="F454" s="113">
        <f>E111+E117+1.75*E112</f>
        <v>1.4500000000000001E-2</v>
      </c>
      <c r="G454" s="99"/>
      <c r="H454" s="30"/>
      <c r="I454" s="30"/>
      <c r="J454" s="30"/>
      <c r="K454" s="30"/>
      <c r="L454" s="31"/>
    </row>
    <row r="455" spans="1:33" s="5" customFormat="1" ht="12.75" customHeight="1" x14ac:dyDescent="0.2">
      <c r="A455" s="30"/>
      <c r="B455" s="30"/>
      <c r="C455" s="30"/>
      <c r="D455" s="30"/>
      <c r="E455" s="30"/>
      <c r="F455" s="30"/>
      <c r="G455" s="30"/>
      <c r="H455" s="30"/>
      <c r="I455" s="30"/>
      <c r="J455" s="30"/>
      <c r="K455" s="30"/>
      <c r="L455" s="31"/>
      <c r="N455"/>
      <c r="O455"/>
      <c r="P455"/>
      <c r="Q455"/>
      <c r="R455"/>
      <c r="S455"/>
      <c r="T455"/>
      <c r="U455"/>
      <c r="V455"/>
      <c r="W455"/>
      <c r="X455"/>
      <c r="Y455"/>
      <c r="Z455"/>
      <c r="AA455"/>
      <c r="AB455"/>
      <c r="AC455"/>
      <c r="AD455"/>
      <c r="AE455"/>
      <c r="AF455"/>
      <c r="AG455"/>
    </row>
    <row r="456" spans="1:33" x14ac:dyDescent="0.2">
      <c r="A456" s="30"/>
      <c r="B456" s="30"/>
      <c r="C456" s="30"/>
      <c r="D456" s="30"/>
      <c r="E456" s="30"/>
      <c r="F456" s="30" t="str">
        <f>TEXT(H286,"0.000")&amp;" + 1.75*"&amp;TEXT(H270,"0.000")&amp;" ="</f>
        <v>0.027 + 1.75*0.008 =</v>
      </c>
      <c r="G456" s="30"/>
      <c r="H456" s="114">
        <f>H286+1.75*H270</f>
        <v>4.1674704218106998E-2</v>
      </c>
      <c r="I456" s="30"/>
      <c r="J456" s="30"/>
      <c r="K456" s="30"/>
      <c r="L456" s="31"/>
    </row>
    <row r="457" spans="1:33" x14ac:dyDescent="0.2">
      <c r="A457" s="30"/>
      <c r="B457" s="30"/>
      <c r="C457" s="30"/>
      <c r="D457" s="30"/>
      <c r="E457" s="30"/>
      <c r="F457" s="30"/>
      <c r="G457" s="30"/>
      <c r="H457" s="114"/>
      <c r="I457" s="30"/>
      <c r="J457" s="30"/>
      <c r="K457" s="30"/>
      <c r="L457" s="31"/>
    </row>
    <row r="458" spans="1:33" x14ac:dyDescent="0.2">
      <c r="A458" s="30"/>
      <c r="B458" s="41" t="s">
        <v>16</v>
      </c>
      <c r="C458" s="30"/>
      <c r="D458" s="30"/>
      <c r="E458" s="30"/>
      <c r="F458" s="30"/>
      <c r="G458" s="30"/>
      <c r="H458" s="30"/>
      <c r="I458" s="30"/>
      <c r="J458" s="30"/>
      <c r="K458" s="30"/>
      <c r="L458" s="31"/>
    </row>
    <row r="459" spans="1:33" x14ac:dyDescent="0.2">
      <c r="A459" s="30"/>
      <c r="B459" s="41"/>
      <c r="C459" s="30"/>
      <c r="D459" s="30"/>
      <c r="E459" s="30"/>
      <c r="F459" s="30"/>
      <c r="G459" s="30"/>
      <c r="H459" s="30"/>
      <c r="I459" s="30"/>
      <c r="J459" s="30"/>
      <c r="K459" s="30"/>
      <c r="L459" s="31"/>
    </row>
    <row r="460" spans="1:33" x14ac:dyDescent="0.2">
      <c r="A460" s="30"/>
      <c r="B460" s="30"/>
      <c r="C460" s="30"/>
      <c r="D460" s="115" t="str">
        <f>TEXT(F454,"0.000")</f>
        <v>0.015</v>
      </c>
      <c r="E460" s="116">
        <f>F454/E23</f>
        <v>2.9000000000000002E-3</v>
      </c>
      <c r="F460" s="34" t="str">
        <f>IF(E460&lt;H460,"&lt;",IF(E460&gt;H460,"&gt;","="))</f>
        <v>&lt;</v>
      </c>
      <c r="G460" s="115" t="str">
        <f>"3*"&amp;TEXT(H456,"0.000")</f>
        <v>3*0.042</v>
      </c>
      <c r="H460" s="117">
        <f>3*H456/I157</f>
        <v>1.7711749292695478E-2</v>
      </c>
      <c r="I460" s="118" t="str">
        <f>IF(E460&gt;=H460,"OK","FAILS")</f>
        <v>FAILS</v>
      </c>
      <c r="J460" s="119" t="str">
        <f>IF(I460="OK", "No Restraint Required","Restraint Required")</f>
        <v>Restraint Required</v>
      </c>
      <c r="K460" s="119"/>
      <c r="L460" s="31"/>
    </row>
    <row r="461" spans="1:33" ht="12.75" customHeight="1" x14ac:dyDescent="0.2">
      <c r="A461" s="30"/>
      <c r="B461" s="30"/>
      <c r="C461" s="30"/>
      <c r="D461" s="36" t="str">
        <f>TEXT(E23,"0")</f>
        <v>5</v>
      </c>
      <c r="E461" s="116"/>
      <c r="F461" s="34"/>
      <c r="G461" s="36" t="str">
        <f>TEXT(I157,"0.00")</f>
        <v>7.06</v>
      </c>
      <c r="H461" s="117"/>
      <c r="I461" s="118"/>
      <c r="J461" s="119"/>
      <c r="K461" s="119"/>
      <c r="L461" s="31"/>
    </row>
    <row r="462" spans="1:33" ht="12.75" customHeight="1" x14ac:dyDescent="0.2">
      <c r="A462" s="30"/>
      <c r="B462" s="30"/>
      <c r="C462" s="30"/>
      <c r="D462" s="36"/>
      <c r="E462" s="120"/>
      <c r="F462" s="36"/>
      <c r="G462" s="36"/>
      <c r="H462" s="121"/>
      <c r="I462" s="36"/>
      <c r="J462" s="122"/>
      <c r="K462" s="122"/>
      <c r="L462" s="31"/>
    </row>
    <row r="463" spans="1:33" ht="12.75" customHeight="1" x14ac:dyDescent="0.2">
      <c r="A463" s="44" t="s">
        <v>133</v>
      </c>
      <c r="B463" s="44"/>
      <c r="C463" s="44"/>
      <c r="D463" s="44"/>
      <c r="E463" s="44"/>
      <c r="F463" s="44"/>
      <c r="G463" s="44"/>
      <c r="H463" s="44"/>
      <c r="I463" s="44"/>
      <c r="J463" s="44"/>
      <c r="K463" s="44"/>
      <c r="L463" s="44"/>
    </row>
    <row r="464" spans="1:33" ht="12.75" customHeight="1" x14ac:dyDescent="0.2">
      <c r="A464" s="44"/>
      <c r="B464" s="44"/>
      <c r="C464" s="44"/>
      <c r="D464" s="44"/>
      <c r="E464" s="44"/>
      <c r="F464" s="44"/>
      <c r="G464" s="44"/>
      <c r="H464" s="44"/>
      <c r="I464" s="44"/>
      <c r="J464" s="44"/>
      <c r="K464" s="44"/>
      <c r="L464" s="44"/>
    </row>
    <row r="465" spans="1:12" ht="12.75" customHeight="1" x14ac:dyDescent="0.2">
      <c r="A465" s="30"/>
      <c r="B465" s="30"/>
      <c r="C465" s="30"/>
      <c r="D465" s="30"/>
      <c r="E465" s="30"/>
      <c r="F465" s="30"/>
      <c r="G465" s="30"/>
      <c r="H465" s="30"/>
      <c r="I465" s="30"/>
      <c r="J465" s="30"/>
      <c r="K465" s="30"/>
      <c r="L465" s="30"/>
    </row>
    <row r="466" spans="1:12" x14ac:dyDescent="0.2">
      <c r="A466" s="123" t="s">
        <v>131</v>
      </c>
      <c r="B466" s="124"/>
      <c r="C466" s="124"/>
      <c r="D466" s="124"/>
      <c r="E466" s="124"/>
      <c r="F466" s="124"/>
      <c r="G466" s="124"/>
      <c r="H466" s="124"/>
      <c r="I466" s="124"/>
      <c r="J466" s="124"/>
      <c r="K466" s="124"/>
      <c r="L466" s="125" t="s">
        <v>115</v>
      </c>
    </row>
    <row r="467" spans="1:12" x14ac:dyDescent="0.2">
      <c r="A467" s="126" t="s">
        <v>201</v>
      </c>
      <c r="B467" s="126"/>
      <c r="C467" s="126"/>
      <c r="D467" s="126"/>
      <c r="E467" s="126"/>
      <c r="F467" s="126"/>
      <c r="G467" s="126"/>
      <c r="H467" s="126"/>
      <c r="I467" s="126"/>
      <c r="J467" s="126"/>
      <c r="K467" s="126"/>
      <c r="L467" s="126"/>
    </row>
    <row r="468" spans="1:12" x14ac:dyDescent="0.2">
      <c r="A468" s="126"/>
      <c r="B468" s="126"/>
      <c r="C468" s="126"/>
      <c r="D468" s="126"/>
      <c r="E468" s="126"/>
      <c r="F468" s="126"/>
      <c r="G468" s="126"/>
      <c r="H468" s="126"/>
      <c r="I468" s="126"/>
      <c r="J468" s="126"/>
      <c r="K468" s="126"/>
      <c r="L468" s="126"/>
    </row>
    <row r="469" spans="1:12" ht="12.75" customHeight="1" x14ac:dyDescent="0.2">
      <c r="A469" s="126"/>
      <c r="B469" s="126"/>
      <c r="C469" s="126"/>
      <c r="D469" s="126"/>
      <c r="E469" s="126"/>
      <c r="F469" s="126"/>
      <c r="G469" s="126"/>
      <c r="H469" s="126"/>
      <c r="I469" s="126"/>
      <c r="J469" s="126"/>
      <c r="K469" s="126"/>
      <c r="L469" s="126"/>
    </row>
    <row r="470" spans="1:12" x14ac:dyDescent="0.2">
      <c r="A470" s="126"/>
      <c r="B470" s="126"/>
      <c r="C470" s="126"/>
      <c r="D470" s="126"/>
      <c r="E470" s="126"/>
      <c r="F470" s="126"/>
      <c r="G470" s="126"/>
      <c r="H470" s="126"/>
      <c r="I470" s="126"/>
      <c r="J470" s="126"/>
      <c r="K470" s="126"/>
      <c r="L470" s="126"/>
    </row>
    <row r="471" spans="1:12" x14ac:dyDescent="0.2">
      <c r="A471" s="44"/>
      <c r="B471" s="44"/>
      <c r="C471" s="44"/>
      <c r="D471" s="44"/>
      <c r="E471" s="44"/>
      <c r="F471" s="44"/>
      <c r="G471" s="44"/>
      <c r="H471" s="44"/>
      <c r="I471" s="44"/>
      <c r="J471" s="44"/>
      <c r="K471" s="44"/>
      <c r="L471" s="44"/>
    </row>
    <row r="472" spans="1:12" ht="12.75" customHeight="1" x14ac:dyDescent="0.2">
      <c r="A472" s="30"/>
      <c r="B472" s="30"/>
      <c r="C472" s="30"/>
      <c r="D472" s="30"/>
      <c r="E472" s="30"/>
      <c r="F472" s="30"/>
      <c r="G472" s="30"/>
      <c r="H472" s="30"/>
      <c r="I472" s="30"/>
      <c r="J472" s="30"/>
      <c r="K472" s="30"/>
      <c r="L472" s="31"/>
    </row>
    <row r="473" spans="1:12" x14ac:dyDescent="0.2">
      <c r="A473" s="30"/>
      <c r="B473" s="30"/>
      <c r="C473" s="30"/>
      <c r="D473" s="30"/>
      <c r="E473" s="30"/>
      <c r="F473" s="30"/>
      <c r="G473" s="30"/>
      <c r="H473" s="30"/>
      <c r="I473" s="30"/>
      <c r="J473" s="30"/>
      <c r="K473" s="30"/>
      <c r="L473" s="31" t="s">
        <v>128</v>
      </c>
    </row>
    <row r="474" spans="1:12" x14ac:dyDescent="0.2">
      <c r="A474" s="30"/>
      <c r="B474" s="127" t="s">
        <v>17</v>
      </c>
      <c r="C474" s="30"/>
      <c r="D474" s="30"/>
      <c r="E474" s="30"/>
      <c r="F474" s="30"/>
      <c r="G474" s="47"/>
      <c r="H474" s="30"/>
      <c r="I474" s="31"/>
      <c r="J474" s="128"/>
      <c r="K474" s="30"/>
      <c r="L474" s="31"/>
    </row>
    <row r="475" spans="1:12" x14ac:dyDescent="0.2">
      <c r="A475" s="30"/>
      <c r="B475" s="127"/>
      <c r="C475" s="30"/>
      <c r="D475" s="30"/>
      <c r="E475" s="30"/>
      <c r="F475" s="30"/>
      <c r="G475" s="30"/>
      <c r="H475" s="30"/>
      <c r="I475" s="30"/>
      <c r="J475" s="30"/>
      <c r="K475" s="30"/>
      <c r="L475" s="31"/>
    </row>
    <row r="476" spans="1:12" ht="12.75" customHeight="1" x14ac:dyDescent="0.2">
      <c r="A476" s="30"/>
      <c r="B476" s="30"/>
      <c r="C476" s="30"/>
      <c r="D476" s="47"/>
      <c r="E476" s="36"/>
      <c r="F476" s="30"/>
      <c r="G476" s="47"/>
      <c r="H476" s="30"/>
      <c r="I476" s="30"/>
      <c r="J476" s="30"/>
      <c r="K476" s="30"/>
      <c r="L476" s="31" t="s">
        <v>132</v>
      </c>
    </row>
    <row r="477" spans="1:12" ht="12.75" customHeight="1" x14ac:dyDescent="0.2">
      <c r="A477" s="30"/>
      <c r="B477" s="30"/>
      <c r="C477" s="30"/>
      <c r="D477" s="30"/>
      <c r="E477" s="30"/>
      <c r="F477" s="30"/>
      <c r="G477" s="30"/>
      <c r="H477" s="30"/>
      <c r="I477" s="30"/>
      <c r="J477" s="30"/>
      <c r="K477" s="30"/>
      <c r="L477" s="31"/>
    </row>
    <row r="478" spans="1:12" ht="12.75" customHeight="1" x14ac:dyDescent="0.2">
      <c r="A478" s="30"/>
      <c r="B478" s="30"/>
      <c r="C478" s="30"/>
      <c r="D478" s="30"/>
      <c r="E478" s="30"/>
      <c r="F478" s="30"/>
      <c r="G478" s="30"/>
      <c r="H478" s="30"/>
      <c r="I478" s="30"/>
      <c r="J478" s="128"/>
      <c r="K478" s="30"/>
      <c r="L478" s="31"/>
    </row>
    <row r="479" spans="1:12" x14ac:dyDescent="0.2">
      <c r="A479" s="30"/>
      <c r="B479" s="30" t="s">
        <v>148</v>
      </c>
      <c r="C479" s="30"/>
      <c r="D479" s="30"/>
      <c r="E479" s="30"/>
      <c r="F479" s="30"/>
      <c r="G479" s="30"/>
      <c r="H479" s="30"/>
      <c r="I479" s="30"/>
      <c r="J479" s="30"/>
      <c r="K479" s="30"/>
      <c r="L479" s="31"/>
    </row>
    <row r="480" spans="1:12" x14ac:dyDescent="0.2">
      <c r="A480" s="30"/>
      <c r="B480" s="30"/>
      <c r="C480" s="30"/>
      <c r="D480" s="47"/>
      <c r="E480" s="36"/>
      <c r="F480" s="30"/>
      <c r="G480" s="47"/>
      <c r="H480" s="30"/>
      <c r="I480" s="30"/>
      <c r="J480" s="30"/>
      <c r="K480" s="30"/>
      <c r="L480" s="31"/>
    </row>
    <row r="481" spans="1:12" x14ac:dyDescent="0.2">
      <c r="A481" s="30"/>
      <c r="B481" s="30"/>
      <c r="C481" s="30"/>
      <c r="D481" s="30"/>
      <c r="E481" s="47" t="str">
        <f>TEXT(D484,"0.00")&amp;"*"&amp;TEXT(D485,"0.00")&amp;"*"&amp;TEXT(D487,"0.00")&amp;" / ("&amp;TEXT(E40,"0.00")&amp;"*"&amp;TEXT(D486,"0.00")&amp;") ="</f>
        <v>0.20*200.00*2.63 / (0.13*240.00) =</v>
      </c>
      <c r="F481" s="30"/>
      <c r="G481" s="30"/>
      <c r="H481" s="129"/>
      <c r="I481" s="130">
        <f>D484*D485*D487/(E40*D486)</f>
        <v>3.4313725490196076</v>
      </c>
      <c r="J481" s="30"/>
      <c r="K481" s="30"/>
      <c r="L481" s="31"/>
    </row>
    <row r="482" spans="1:12" x14ac:dyDescent="0.2">
      <c r="A482" s="30"/>
      <c r="B482" s="30"/>
      <c r="C482" s="30"/>
      <c r="D482" s="30"/>
      <c r="E482" s="75"/>
      <c r="F482" s="30"/>
      <c r="G482" s="30"/>
      <c r="H482" s="30"/>
      <c r="I482" s="30"/>
      <c r="J482" s="30"/>
      <c r="K482" s="30"/>
      <c r="L482" s="31"/>
    </row>
    <row r="483" spans="1:12" x14ac:dyDescent="0.2">
      <c r="A483" s="30"/>
      <c r="B483" s="30" t="s">
        <v>56</v>
      </c>
      <c r="C483" s="30"/>
      <c r="D483" s="30"/>
      <c r="E483" s="30"/>
      <c r="F483" s="75"/>
      <c r="G483" s="30"/>
      <c r="H483" s="30"/>
      <c r="I483" s="30"/>
      <c r="J483" s="30"/>
      <c r="K483" s="30"/>
      <c r="L483" s="31"/>
    </row>
    <row r="484" spans="1:12" x14ac:dyDescent="0.2">
      <c r="A484" s="30"/>
      <c r="B484" s="30"/>
      <c r="C484" s="30"/>
      <c r="D484" s="47">
        <v>0.2</v>
      </c>
      <c r="E484" s="30"/>
      <c r="F484" s="30"/>
      <c r="G484" s="30"/>
      <c r="H484" s="30"/>
      <c r="I484" s="30"/>
      <c r="J484" s="30"/>
      <c r="K484" s="30"/>
      <c r="L484" s="125" t="s">
        <v>134</v>
      </c>
    </row>
    <row r="485" spans="1:12" x14ac:dyDescent="0.2">
      <c r="A485" s="30"/>
      <c r="B485" s="30"/>
      <c r="C485" s="30"/>
      <c r="D485" s="47">
        <f>E103</f>
        <v>200</v>
      </c>
      <c r="E485" s="131" t="s">
        <v>5</v>
      </c>
      <c r="F485" s="30"/>
      <c r="G485" s="30"/>
      <c r="H485" s="30"/>
      <c r="I485" s="30"/>
      <c r="J485" s="30"/>
      <c r="K485" s="30"/>
      <c r="L485" s="31"/>
    </row>
    <row r="486" spans="1:12" ht="13.5" x14ac:dyDescent="0.2">
      <c r="A486" s="30"/>
      <c r="B486" s="41"/>
      <c r="C486" s="30"/>
      <c r="D486" s="47">
        <f>E17*E16</f>
        <v>240</v>
      </c>
      <c r="E486" s="132" t="s">
        <v>202</v>
      </c>
      <c r="F486" s="30"/>
      <c r="G486" s="30"/>
      <c r="H486" s="30"/>
      <c r="I486" s="30"/>
      <c r="J486" s="30"/>
      <c r="K486" s="30"/>
      <c r="L486" s="31"/>
    </row>
    <row r="487" spans="1:12" x14ac:dyDescent="0.2">
      <c r="A487" s="30"/>
      <c r="B487" s="30"/>
      <c r="C487" s="30"/>
      <c r="D487" s="47">
        <f>E24</f>
        <v>2.625</v>
      </c>
      <c r="E487" s="130" t="s">
        <v>4</v>
      </c>
      <c r="F487" s="30"/>
      <c r="G487" s="75"/>
      <c r="H487" s="30"/>
      <c r="I487" s="30"/>
      <c r="J487" s="30"/>
      <c r="K487" s="30"/>
      <c r="L487" s="31"/>
    </row>
    <row r="488" spans="1:12" x14ac:dyDescent="0.2">
      <c r="A488" s="30"/>
      <c r="B488" s="30"/>
      <c r="C488" s="30"/>
      <c r="D488" s="30"/>
      <c r="E488" s="30"/>
      <c r="F488" s="30"/>
      <c r="G488" s="30"/>
      <c r="H488" s="30"/>
      <c r="I488" s="30"/>
      <c r="J488" s="30"/>
      <c r="K488" s="30"/>
      <c r="L488" s="31"/>
    </row>
    <row r="489" spans="1:12" x14ac:dyDescent="0.2">
      <c r="A489" s="30"/>
      <c r="B489" s="41" t="s">
        <v>16</v>
      </c>
      <c r="C489" s="30"/>
      <c r="D489" s="30"/>
      <c r="E489" s="30"/>
      <c r="F489" s="30"/>
      <c r="G489" s="30"/>
      <c r="H489" s="30"/>
      <c r="I489" s="30"/>
      <c r="J489" s="30"/>
      <c r="K489" s="30"/>
      <c r="L489" s="31"/>
    </row>
    <row r="490" spans="1:12" x14ac:dyDescent="0.2">
      <c r="A490" s="30"/>
      <c r="B490" s="30"/>
      <c r="C490" s="30"/>
      <c r="D490" s="73"/>
      <c r="E490" s="133">
        <f>I481</f>
        <v>3.4313725490196076</v>
      </c>
      <c r="F490" s="36" t="str">
        <f>IF(E490&gt;H490,"&gt;",IF(E490&lt;H490,"&lt;","="))</f>
        <v>&gt;</v>
      </c>
      <c r="G490" s="73"/>
      <c r="H490" s="133">
        <f>F244</f>
        <v>0.75537854030501084</v>
      </c>
      <c r="I490" s="43" t="str">
        <f>IF(E490&gt;=H490,"OK","FAILS")</f>
        <v>OK</v>
      </c>
      <c r="J490" s="30"/>
      <c r="K490" s="30"/>
      <c r="L490" s="31"/>
    </row>
    <row r="491" spans="1:12" x14ac:dyDescent="0.2">
      <c r="A491" s="30"/>
      <c r="B491" s="30"/>
      <c r="C491" s="30"/>
      <c r="D491" s="73"/>
      <c r="E491" s="36"/>
      <c r="F491" s="30"/>
      <c r="G491" s="73"/>
      <c r="H491" s="30"/>
      <c r="I491" s="32"/>
      <c r="J491" s="30"/>
      <c r="K491" s="30"/>
      <c r="L491" s="31"/>
    </row>
    <row r="492" spans="1:12" x14ac:dyDescent="0.2">
      <c r="A492" s="30"/>
      <c r="B492" s="30"/>
      <c r="C492" s="30"/>
      <c r="D492" s="73"/>
      <c r="E492" s="133">
        <f>D484*D485*D487/(E39*D486)</f>
        <v>2.5362318840579712</v>
      </c>
      <c r="F492" s="36" t="str">
        <f>IF(E492&gt;H492,"&gt;",IF(E492&lt;H492,"&lt;","="))</f>
        <v>&gt;</v>
      </c>
      <c r="G492" s="73"/>
      <c r="H492" s="133">
        <f>(H240*E24)/(E39*E16*E17)</f>
        <v>0.55832326892109496</v>
      </c>
      <c r="I492" s="43" t="str">
        <f>IF(E492&gt;=H492,"OK","FAILS")</f>
        <v>OK</v>
      </c>
      <c r="J492" s="30"/>
      <c r="K492" s="30"/>
      <c r="L492" s="31"/>
    </row>
    <row r="493" spans="1:12" x14ac:dyDescent="0.2">
      <c r="A493" s="30"/>
      <c r="B493" s="30"/>
      <c r="C493" s="30"/>
      <c r="D493" s="73"/>
      <c r="E493" s="36"/>
      <c r="F493" s="30"/>
      <c r="G493" s="73"/>
      <c r="H493" s="30"/>
      <c r="I493" s="30"/>
      <c r="J493" s="30"/>
      <c r="K493" s="30"/>
      <c r="L493" s="31"/>
    </row>
    <row r="494" spans="1:12" x14ac:dyDescent="0.2">
      <c r="A494" s="54" t="s">
        <v>203</v>
      </c>
      <c r="B494" s="35"/>
      <c r="C494" s="35"/>
      <c r="D494" s="35"/>
      <c r="E494" s="35"/>
      <c r="F494" s="35"/>
      <c r="G494" s="35"/>
      <c r="H494" s="35"/>
      <c r="I494" s="35"/>
      <c r="J494" s="35"/>
      <c r="K494" s="35"/>
      <c r="L494" s="35"/>
    </row>
    <row r="495" spans="1:12" ht="12.75" customHeight="1" x14ac:dyDescent="0.2">
      <c r="A495" s="35"/>
      <c r="B495" s="35"/>
      <c r="C495" s="35"/>
      <c r="D495" s="35"/>
      <c r="E495" s="35"/>
      <c r="F495" s="35"/>
      <c r="G495" s="35"/>
      <c r="H495" s="35"/>
      <c r="I495" s="35"/>
      <c r="J495" s="35"/>
      <c r="K495" s="35"/>
      <c r="L495" s="35"/>
    </row>
    <row r="496" spans="1:12" x14ac:dyDescent="0.2">
      <c r="A496" s="35"/>
      <c r="B496" s="35"/>
      <c r="C496" s="35"/>
      <c r="D496" s="35"/>
      <c r="E496" s="35"/>
      <c r="F496" s="35"/>
      <c r="G496" s="35"/>
      <c r="H496" s="35"/>
      <c r="I496" s="35"/>
      <c r="J496" s="35"/>
      <c r="K496" s="35"/>
      <c r="L496" s="35"/>
    </row>
    <row r="497" spans="12:13" ht="12.75" customHeight="1" x14ac:dyDescent="0.2">
      <c r="L497"/>
    </row>
    <row r="503" spans="12:13" x14ac:dyDescent="0.2">
      <c r="M503" s="22"/>
    </row>
    <row r="504" spans="12:13" x14ac:dyDescent="0.2">
      <c r="M504" s="22"/>
    </row>
    <row r="506" spans="12:13" ht="25.5" customHeight="1" x14ac:dyDescent="0.2">
      <c r="L506"/>
    </row>
    <row r="507" spans="12:13" ht="25.5" customHeight="1" x14ac:dyDescent="0.2">
      <c r="L507"/>
    </row>
    <row r="508" spans="12:13" x14ac:dyDescent="0.2">
      <c r="M508" s="22"/>
    </row>
    <row r="511" spans="12:13" ht="25.5" customHeight="1" x14ac:dyDescent="0.2">
      <c r="L511"/>
      <c r="M511"/>
    </row>
    <row r="512" spans="12:13" ht="38.25" customHeight="1" x14ac:dyDescent="0.2">
      <c r="L512"/>
      <c r="M512"/>
    </row>
    <row r="513" spans="12:13" ht="12.75" customHeight="1" x14ac:dyDescent="0.2">
      <c r="L513"/>
      <c r="M513"/>
    </row>
    <row r="520" spans="12:13" ht="25.5" customHeight="1" x14ac:dyDescent="0.2">
      <c r="L520"/>
      <c r="M520"/>
    </row>
    <row r="521" spans="12:13" ht="25.5" customHeight="1" x14ac:dyDescent="0.2">
      <c r="L521"/>
      <c r="M521"/>
    </row>
    <row r="525" spans="12:13" ht="25.5" customHeight="1" x14ac:dyDescent="0.2">
      <c r="L525"/>
      <c r="M525"/>
    </row>
    <row r="526" spans="12:13" ht="38.25" customHeight="1" x14ac:dyDescent="0.2">
      <c r="L526"/>
      <c r="M526"/>
    </row>
    <row r="535" spans="12:13" ht="25.5" customHeight="1" x14ac:dyDescent="0.2">
      <c r="L535"/>
      <c r="M535"/>
    </row>
    <row r="536" spans="12:13" ht="25.5" customHeight="1" x14ac:dyDescent="0.2">
      <c r="L536"/>
      <c r="M536"/>
    </row>
    <row r="541" spans="12:13" ht="12.75" customHeight="1" x14ac:dyDescent="0.2">
      <c r="L541"/>
      <c r="M541"/>
    </row>
    <row r="563" spans="12:13" ht="12.75" customHeight="1" x14ac:dyDescent="0.2">
      <c r="L563"/>
      <c r="M563"/>
    </row>
    <row r="569" spans="12:13" x14ac:dyDescent="0.2">
      <c r="L569"/>
      <c r="M569"/>
    </row>
    <row r="570" spans="12:13" ht="12.75" customHeight="1" x14ac:dyDescent="0.2">
      <c r="L570"/>
      <c r="M570"/>
    </row>
    <row r="575" spans="12:13" ht="12.75" customHeight="1" x14ac:dyDescent="0.2">
      <c r="L575"/>
      <c r="M575"/>
    </row>
    <row r="583" spans="12:13" ht="12.75" customHeight="1" x14ac:dyDescent="0.2">
      <c r="L583"/>
      <c r="M583"/>
    </row>
    <row r="591" spans="12:13" ht="12.75" customHeight="1" x14ac:dyDescent="0.2">
      <c r="L591"/>
      <c r="M591"/>
    </row>
    <row r="595" spans="12:13" ht="12.75" customHeight="1" x14ac:dyDescent="0.2">
      <c r="L595"/>
      <c r="M595"/>
    </row>
    <row r="596" spans="12:13" ht="12.75" customHeight="1" x14ac:dyDescent="0.2">
      <c r="L596"/>
      <c r="M596"/>
    </row>
    <row r="611" spans="12:13" ht="25.5" customHeight="1" x14ac:dyDescent="0.2">
      <c r="L611"/>
      <c r="M611"/>
    </row>
    <row r="612" spans="12:13" ht="25.5" customHeight="1" x14ac:dyDescent="0.2">
      <c r="L612"/>
      <c r="M612"/>
    </row>
    <row r="616" spans="12:13" ht="12.75" customHeight="1" x14ac:dyDescent="0.2">
      <c r="L616"/>
      <c r="M616"/>
    </row>
    <row r="636" spans="12:13" ht="12.75" customHeight="1" x14ac:dyDescent="0.2">
      <c r="L636"/>
      <c r="M636"/>
    </row>
    <row r="637" spans="12:13" x14ac:dyDescent="0.2">
      <c r="L637"/>
      <c r="M637"/>
    </row>
    <row r="638" spans="12:13" x14ac:dyDescent="0.2">
      <c r="L638"/>
      <c r="M638"/>
    </row>
    <row r="639" spans="12:13" x14ac:dyDescent="0.2">
      <c r="L639"/>
      <c r="M639"/>
    </row>
    <row r="640" spans="12:13" x14ac:dyDescent="0.2">
      <c r="L640"/>
      <c r="M640"/>
    </row>
    <row r="641" spans="12:24" x14ac:dyDescent="0.2">
      <c r="L641"/>
      <c r="M641"/>
    </row>
    <row r="642" spans="12:24" x14ac:dyDescent="0.2">
      <c r="L642"/>
      <c r="M642"/>
      <c r="V642" s="20"/>
      <c r="W642" s="20"/>
      <c r="X642" s="20"/>
    </row>
    <row r="643" spans="12:24" x14ac:dyDescent="0.2">
      <c r="L643"/>
      <c r="M643"/>
      <c r="V643" s="20"/>
      <c r="W643" s="20"/>
      <c r="X643" s="20"/>
    </row>
    <row r="644" spans="12:24" x14ac:dyDescent="0.2">
      <c r="L644"/>
      <c r="M644"/>
      <c r="V644" s="20"/>
      <c r="W644" s="20"/>
      <c r="X644" s="20"/>
    </row>
    <row r="645" spans="12:24" x14ac:dyDescent="0.2">
      <c r="L645"/>
      <c r="M645"/>
      <c r="V645" s="20"/>
      <c r="W645" s="20"/>
      <c r="X645" s="20"/>
    </row>
    <row r="649" spans="12:24" ht="12.75" customHeight="1" x14ac:dyDescent="0.2">
      <c r="L649"/>
      <c r="M649"/>
    </row>
    <row r="650" spans="12:24" ht="12.75" customHeight="1" x14ac:dyDescent="0.2">
      <c r="L650"/>
      <c r="M650"/>
    </row>
    <row r="655" spans="12:24" ht="12.75" customHeight="1" x14ac:dyDescent="0.2">
      <c r="L655"/>
      <c r="M655"/>
    </row>
    <row r="675" spans="12:32" ht="12.75" customHeight="1" x14ac:dyDescent="0.2">
      <c r="L675"/>
      <c r="M675"/>
    </row>
    <row r="682" spans="12:32" x14ac:dyDescent="0.2">
      <c r="L682"/>
      <c r="M682"/>
    </row>
    <row r="683" spans="12:32" x14ac:dyDescent="0.2">
      <c r="L683"/>
      <c r="M683"/>
    </row>
    <row r="684" spans="12:32" x14ac:dyDescent="0.2">
      <c r="L684"/>
      <c r="M684"/>
    </row>
    <row r="685" spans="12:32" x14ac:dyDescent="0.2">
      <c r="L685"/>
      <c r="M685"/>
      <c r="V685" s="14"/>
      <c r="W685" s="14"/>
      <c r="X685" s="14"/>
      <c r="Y685" s="14"/>
      <c r="Z685" s="14"/>
      <c r="AA685" s="14"/>
      <c r="AB685" s="14"/>
      <c r="AC685" s="14"/>
      <c r="AD685" s="14"/>
      <c r="AE685" s="14"/>
      <c r="AF685" s="14"/>
    </row>
    <row r="686" spans="12:32" x14ac:dyDescent="0.2">
      <c r="L686"/>
      <c r="M686"/>
      <c r="V686" s="14"/>
      <c r="W686" s="14"/>
      <c r="X686" s="14"/>
      <c r="Y686" s="14"/>
      <c r="Z686" s="14"/>
      <c r="AB686" s="9"/>
      <c r="AC686" s="10"/>
      <c r="AD686" s="14"/>
      <c r="AE686" s="14"/>
      <c r="AF686" s="14"/>
    </row>
  </sheetData>
  <sheetProtection selectLockedCells="1" selectUnlockedCells="1"/>
  <mergeCells count="80">
    <mergeCell ref="J147:L150"/>
    <mergeCell ref="J187:L190"/>
    <mergeCell ref="J203:L206"/>
    <mergeCell ref="A394:L394"/>
    <mergeCell ref="A6:L9"/>
    <mergeCell ref="B474:B475"/>
    <mergeCell ref="N226:N228"/>
    <mergeCell ref="O226:Q227"/>
    <mergeCell ref="D228:D230"/>
    <mergeCell ref="E228:G229"/>
    <mergeCell ref="A467:L471"/>
    <mergeCell ref="A10:L13"/>
    <mergeCell ref="E41:G41"/>
    <mergeCell ref="D168:F169"/>
    <mergeCell ref="G168:G169"/>
    <mergeCell ref="D173:F174"/>
    <mergeCell ref="D264:E264"/>
    <mergeCell ref="E270:G271"/>
    <mergeCell ref="D273:E273"/>
    <mergeCell ref="H270:H271"/>
    <mergeCell ref="Y47:AA81"/>
    <mergeCell ref="C94:I94"/>
    <mergeCell ref="F193:G193"/>
    <mergeCell ref="A184:L186"/>
    <mergeCell ref="A100:L101"/>
    <mergeCell ref="G173:G174"/>
    <mergeCell ref="D157:H158"/>
    <mergeCell ref="I157:I158"/>
    <mergeCell ref="D163:F164"/>
    <mergeCell ref="G163:G164"/>
    <mergeCell ref="E188:H188"/>
    <mergeCell ref="A255:L256"/>
    <mergeCell ref="E322:E323"/>
    <mergeCell ref="E340:I341"/>
    <mergeCell ref="J340:J341"/>
    <mergeCell ref="B378:B379"/>
    <mergeCell ref="E289:F289"/>
    <mergeCell ref="A297:L300"/>
    <mergeCell ref="I30:L31"/>
    <mergeCell ref="A33:L36"/>
    <mergeCell ref="B95:J95"/>
    <mergeCell ref="C66:J66"/>
    <mergeCell ref="A120:L123"/>
    <mergeCell ref="A107:L108"/>
    <mergeCell ref="A114:L115"/>
    <mergeCell ref="A417:L418"/>
    <mergeCell ref="D399:E399"/>
    <mergeCell ref="F399:F400"/>
    <mergeCell ref="G399:G400"/>
    <mergeCell ref="D400:E400"/>
    <mergeCell ref="D409:E409"/>
    <mergeCell ref="F409:F410"/>
    <mergeCell ref="G409:G410"/>
    <mergeCell ref="D410:E410"/>
    <mergeCell ref="B389:F390"/>
    <mergeCell ref="A278:L279"/>
    <mergeCell ref="E286:G287"/>
    <mergeCell ref="E204:H204"/>
    <mergeCell ref="H286:H287"/>
    <mergeCell ref="B303:B304"/>
    <mergeCell ref="E381:G381"/>
    <mergeCell ref="F385:H385"/>
    <mergeCell ref="A261:L262"/>
    <mergeCell ref="A223:L224"/>
    <mergeCell ref="D244:E244"/>
    <mergeCell ref="D245:E245"/>
    <mergeCell ref="A236:L237"/>
    <mergeCell ref="E319:E320"/>
    <mergeCell ref="A494:L496"/>
    <mergeCell ref="A463:L464"/>
    <mergeCell ref="A443:L444"/>
    <mergeCell ref="E426:F426"/>
    <mergeCell ref="E427:F427"/>
    <mergeCell ref="E432:F432"/>
    <mergeCell ref="E433:F433"/>
    <mergeCell ref="H460:H461"/>
    <mergeCell ref="I460:I461"/>
    <mergeCell ref="J460:K461"/>
    <mergeCell ref="E460:E461"/>
    <mergeCell ref="F460:F461"/>
  </mergeCells>
  <pageMargins left="1" right="1" top="1" bottom="1" header="0.7" footer="0.7"/>
  <pageSetup scale="90" orientation="portrait" r:id="rId1"/>
  <headerFooter>
    <oddHeader>&amp;L&amp;"Arial,Italic"&amp;9EXAMPLE 4 - TYPE II BEARING (REINFORCED PTFE) (METHOD B)
================================================================================================&amp;R&amp;"Arial,Italic"&amp;9&amp;P</oddHeader>
    <oddFooter>&amp;L&amp;"Arial,Italic"&amp;9================================================================================================
CDOT Bridge Design Manual&amp;R&amp;"Arial,Italic"
&amp;9January 2018</oddFooter>
  </headerFooter>
  <rowBreaks count="9" manualBreakCount="9">
    <brk id="48" max="11" man="1"/>
    <brk id="105" max="11" man="1"/>
    <brk id="159" max="11" man="1"/>
    <brk id="216" max="16383" man="1"/>
    <brk id="257" max="16383" man="1"/>
    <brk id="295" max="16383" man="1"/>
    <brk id="346" max="16383" man="1"/>
    <brk id="395" max="16383" man="1"/>
    <brk id="4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Type II (PTFE) - Method B</vt:lpstr>
      <vt:lpstr>'Type II (PTFE) - Method 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Pushkarova</dc:creator>
  <cp:lastModifiedBy>Abraham, Samuel</cp:lastModifiedBy>
  <cp:lastPrinted>2024-02-27T22:47:18Z</cp:lastPrinted>
  <dcterms:created xsi:type="dcterms:W3CDTF">2016-03-24T16:05:18Z</dcterms:created>
  <dcterms:modified xsi:type="dcterms:W3CDTF">2024-02-27T22:47:48Z</dcterms:modified>
</cp:coreProperties>
</file>