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mc:AlternateContent xmlns:mc="http://schemas.openxmlformats.org/markup-compatibility/2006">
    <mc:Choice Requires="x15">
      <x15ac:absPath xmlns:x15ac="http://schemas.microsoft.com/office/spreadsheetml/2010/11/ac" url="Z:\011 Rating and Standards 0223\Active Projects\Design Manual Updates\2025BDM-Ready to publish\"/>
    </mc:Choice>
  </mc:AlternateContent>
  <xr:revisionPtr revIDLastSave="0" documentId="13_ncr:1_{52289944-92DA-4CC1-A092-D5D84B7ACD4F}" xr6:coauthVersionLast="47" xr6:coauthVersionMax="47" xr10:uidLastSave="{00000000-0000-0000-0000-000000000000}"/>
  <bookViews>
    <workbookView xWindow="28680" yWindow="-195" windowWidth="29040" windowHeight="18240" activeTab="1" xr2:uid="{00000000-000D-0000-FFFF-FFFF00000000}"/>
  </bookViews>
  <sheets>
    <sheet name="6.1 Deck Design" sheetId="1" r:id="rId1"/>
    <sheet name="6.2 Type 10MASH" sheetId="8" r:id="rId2"/>
    <sheet name="6.3 Type 9" sheetId="6" r:id="rId3"/>
    <sheet name="6.4 Overhang Design" sheetId="4" r:id="rId4"/>
    <sheet name="Type 10MASH CG" sheetId="3" r:id="rId5"/>
    <sheet name="6.3 Type 7_old" sheetId="5" state="hidden" r:id="rId6"/>
  </sheets>
  <externalReferences>
    <externalReference r:id="rId7"/>
  </externalReferences>
  <definedNames>
    <definedName name="_xlnm.Print_Area" localSheetId="0">'6.1 Deck Design'!$A$1:$J$262</definedName>
    <definedName name="_xlnm.Print_Area" localSheetId="1">'6.2 Type 10MASH'!$A$1:$J$247</definedName>
    <definedName name="_xlnm.Print_Area" localSheetId="2">'6.3 Type 9'!$A$1:$K$158</definedName>
    <definedName name="_xlnm.Print_Area" localSheetId="3">'6.4 Overhang Design'!$A$1:$J$162</definedName>
    <definedName name="_xlnm.Print_Area" localSheetId="4">'Type 10MASH CG'!$A$1:$H$53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 r="F55" i="1"/>
  <c r="I95" i="8" l="1"/>
  <c r="I100" i="8" l="1"/>
  <c r="I103" i="8"/>
  <c r="F30" i="4"/>
  <c r="F29" i="4"/>
  <c r="F28" i="4"/>
  <c r="F13" i="4"/>
  <c r="A105" i="8" l="1"/>
  <c r="D107" i="8" s="1"/>
  <c r="I96" i="8" s="1"/>
  <c r="I109" i="8" s="1"/>
  <c r="E219" i="8"/>
  <c r="E218" i="8"/>
  <c r="I206" i="8"/>
  <c r="E196" i="8"/>
  <c r="E195" i="8"/>
  <c r="D175" i="8"/>
  <c r="D176" i="8" s="1"/>
  <c r="E178" i="8" s="1"/>
  <c r="I163" i="8"/>
  <c r="D155" i="8"/>
  <c r="D157" i="8" s="1"/>
  <c r="D147" i="8"/>
  <c r="H147" i="8" s="1"/>
  <c r="F146" i="8"/>
  <c r="D146" i="8"/>
  <c r="E129" i="8"/>
  <c r="E130" i="8" s="1"/>
  <c r="E134" i="8" s="1"/>
  <c r="E136" i="8" s="1"/>
  <c r="L118" i="8"/>
  <c r="I98" i="8"/>
  <c r="I110" i="8"/>
  <c r="I83" i="8"/>
  <c r="I86" i="8" s="1"/>
  <c r="I82" i="8"/>
  <c r="E50" i="8"/>
  <c r="B141" i="8" s="1"/>
  <c r="E48" i="8"/>
  <c r="E47" i="8"/>
  <c r="E44" i="8"/>
  <c r="E194" i="8" s="1"/>
  <c r="E35" i="8"/>
  <c r="E123" i="8" s="1"/>
  <c r="E28" i="8"/>
  <c r="E26" i="8"/>
  <c r="E17" i="8"/>
  <c r="E7" i="8"/>
  <c r="D100" i="8" l="1"/>
  <c r="D103" i="8"/>
  <c r="L97" i="8"/>
  <c r="I84" i="8"/>
  <c r="I87" i="8" s="1"/>
  <c r="E124" i="8"/>
  <c r="E137" i="8" s="1"/>
  <c r="I179" i="8"/>
  <c r="F180" i="8" s="1"/>
  <c r="F181" i="8" s="1"/>
  <c r="E89" i="8"/>
  <c r="I89" i="8"/>
  <c r="D164" i="8"/>
  <c r="B232" i="8"/>
  <c r="G141" i="8"/>
  <c r="F62" i="1"/>
  <c r="C29" i="3"/>
  <c r="D27" i="3"/>
  <c r="D28" i="3"/>
  <c r="D228" i="1"/>
  <c r="C228" i="1"/>
  <c r="G236" i="1"/>
  <c r="H82" i="6"/>
  <c r="H81" i="6"/>
  <c r="H80" i="6"/>
  <c r="H79" i="6"/>
  <c r="H72" i="6"/>
  <c r="H71" i="6"/>
  <c r="H70" i="6"/>
  <c r="H69" i="6"/>
  <c r="E60" i="6"/>
  <c r="E70" i="6" s="1"/>
  <c r="F70" i="6" s="1"/>
  <c r="D62" i="6"/>
  <c r="D72" i="6" s="1"/>
  <c r="D82" i="6" s="1"/>
  <c r="E97" i="6" s="1"/>
  <c r="H97" i="6" s="1"/>
  <c r="I97" i="6" s="1"/>
  <c r="H59" i="6"/>
  <c r="H62" i="6"/>
  <c r="F44" i="6"/>
  <c r="G43" i="6" s="1"/>
  <c r="E62" i="6" s="1"/>
  <c r="F45" i="6"/>
  <c r="D61" i="6" s="1"/>
  <c r="D71" i="6" s="1"/>
  <c r="D81" i="6" s="1"/>
  <c r="E96" i="6" s="1"/>
  <c r="H96" i="6" s="1"/>
  <c r="I96" i="6" s="1"/>
  <c r="E61" i="6" l="1"/>
  <c r="E71" i="6" s="1"/>
  <c r="E126" i="8"/>
  <c r="I111" i="8"/>
  <c r="I112" i="8" s="1"/>
  <c r="I91" i="8"/>
  <c r="I113" i="8" s="1"/>
  <c r="F182" i="8"/>
  <c r="E166" i="8"/>
  <c r="E168" i="8" s="1"/>
  <c r="F184" i="8" s="1"/>
  <c r="E163" i="8"/>
  <c r="C91" i="8"/>
  <c r="E80" i="6"/>
  <c r="F95" i="6" s="1"/>
  <c r="E72" i="6"/>
  <c r="I232" i="8" l="1"/>
  <c r="E198" i="8"/>
  <c r="G232" i="8"/>
  <c r="D234" i="8" s="1"/>
  <c r="E237" i="8"/>
  <c r="H224" i="8"/>
  <c r="D222" i="8"/>
  <c r="H199" i="8"/>
  <c r="F71" i="6"/>
  <c r="E81" i="6"/>
  <c r="F72" i="6"/>
  <c r="E82" i="6"/>
  <c r="F97" i="6" s="1"/>
  <c r="G118" i="8" l="1"/>
  <c r="D227" i="8" s="1"/>
  <c r="F20" i="4"/>
  <c r="H235" i="8"/>
  <c r="E239" i="8" s="1"/>
  <c r="C206" i="8"/>
  <c r="E211" i="8" s="1"/>
  <c r="E213" i="8" s="1"/>
  <c r="E206" i="8"/>
  <c r="D59" i="6"/>
  <c r="D69" i="6" s="1"/>
  <c r="D79" i="6" s="1"/>
  <c r="E94" i="6" s="1"/>
  <c r="H94" i="6" s="1"/>
  <c r="I94" i="6" s="1"/>
  <c r="D44" i="6"/>
  <c r="D43" i="6"/>
  <c r="J57" i="6"/>
  <c r="J92" i="6"/>
  <c r="J91" i="6"/>
  <c r="D42" i="5"/>
  <c r="E45" i="6"/>
  <c r="D60" i="6" s="1"/>
  <c r="D70" i="6" s="1"/>
  <c r="D80" i="6" s="1"/>
  <c r="E95" i="6" s="1"/>
  <c r="H95" i="6" s="1"/>
  <c r="I95" i="6" s="1"/>
  <c r="H60" i="6"/>
  <c r="H61" i="6"/>
  <c r="J120" i="6"/>
  <c r="J123" i="6" s="1"/>
  <c r="E11" i="6"/>
  <c r="E144" i="6"/>
  <c r="J125" i="6"/>
  <c r="I127" i="6" s="1"/>
  <c r="H113" i="6"/>
  <c r="J56" i="6"/>
  <c r="K119" i="8" l="1"/>
  <c r="G201" i="8"/>
  <c r="C201" i="8"/>
  <c r="H228" i="8"/>
  <c r="D208" i="8"/>
  <c r="F209" i="8"/>
  <c r="E241" i="8"/>
  <c r="H247" i="8" s="1"/>
  <c r="F19" i="4" s="1"/>
  <c r="H241" i="8"/>
  <c r="H246" i="8" s="1"/>
  <c r="F18" i="4" s="1"/>
  <c r="D96" i="6"/>
  <c r="D97" i="6"/>
  <c r="D94" i="6"/>
  <c r="J94" i="6" s="1"/>
  <c r="D95" i="6"/>
  <c r="G96" i="6"/>
  <c r="G95" i="6"/>
  <c r="G97" i="6"/>
  <c r="F80" i="6"/>
  <c r="F82" i="6"/>
  <c r="F81" i="6"/>
  <c r="C71" i="6"/>
  <c r="I71" i="6" s="1"/>
  <c r="J71" i="6" s="1"/>
  <c r="K71" i="6" s="1"/>
  <c r="C72" i="6"/>
  <c r="I72" i="6" s="1"/>
  <c r="J72" i="6" s="1"/>
  <c r="K72" i="6" s="1"/>
  <c r="C69" i="6"/>
  <c r="I69" i="6" s="1"/>
  <c r="C82" i="6"/>
  <c r="I82" i="6" s="1"/>
  <c r="C81" i="6"/>
  <c r="I81" i="6" s="1"/>
  <c r="I80" i="6"/>
  <c r="J80" i="6" s="1"/>
  <c r="K80" i="6" s="1"/>
  <c r="I79" i="6"/>
  <c r="F61" i="6"/>
  <c r="F60" i="6"/>
  <c r="F62" i="6"/>
  <c r="I70" i="6"/>
  <c r="J70" i="6" s="1"/>
  <c r="K70" i="6" s="1"/>
  <c r="E59" i="6"/>
  <c r="F59" i="6" s="1"/>
  <c r="C60" i="6"/>
  <c r="I60" i="6" s="1"/>
  <c r="C62" i="6"/>
  <c r="C59" i="6"/>
  <c r="C61" i="6"/>
  <c r="I61" i="6" s="1"/>
  <c r="H127" i="6"/>
  <c r="D139" i="6"/>
  <c r="G139" i="6"/>
  <c r="D140" i="6"/>
  <c r="G140" i="6"/>
  <c r="G128" i="6"/>
  <c r="H128" i="6" s="1"/>
  <c r="E141" i="6"/>
  <c r="J141" i="6"/>
  <c r="G28" i="3"/>
  <c r="G27" i="3"/>
  <c r="G29" i="3"/>
  <c r="D29" i="3"/>
  <c r="G30" i="3" l="1"/>
  <c r="D230" i="8"/>
  <c r="H230" i="8"/>
  <c r="H27" i="3"/>
  <c r="J95" i="6"/>
  <c r="K95" i="6" s="1"/>
  <c r="J97" i="6"/>
  <c r="K97" i="6" s="1"/>
  <c r="J96" i="6"/>
  <c r="K96" i="6" s="1"/>
  <c r="J81" i="6"/>
  <c r="K81" i="6" s="1"/>
  <c r="J82" i="6"/>
  <c r="K82" i="6" s="1"/>
  <c r="E69" i="6"/>
  <c r="I62" i="6"/>
  <c r="J62" i="6" s="1"/>
  <c r="K62" i="6" s="1"/>
  <c r="J61" i="6"/>
  <c r="K61" i="6" s="1"/>
  <c r="J60" i="6"/>
  <c r="K60" i="6" s="1"/>
  <c r="I139" i="6"/>
  <c r="I59" i="6"/>
  <c r="E145" i="6"/>
  <c r="F149" i="6" s="1"/>
  <c r="I140" i="6"/>
  <c r="H28" i="3"/>
  <c r="H29" i="3"/>
  <c r="E110" i="5"/>
  <c r="J92" i="5"/>
  <c r="I94" i="5" s="1"/>
  <c r="J90" i="5"/>
  <c r="D105" i="5" s="1"/>
  <c r="H81" i="5"/>
  <c r="G66" i="5"/>
  <c r="H66" i="5" s="1"/>
  <c r="E66" i="5"/>
  <c r="G65" i="5"/>
  <c r="H65" i="5" s="1"/>
  <c r="E65" i="5"/>
  <c r="G64" i="5"/>
  <c r="H64" i="5" s="1"/>
  <c r="E64" i="5"/>
  <c r="J60" i="5"/>
  <c r="D64" i="5" s="1"/>
  <c r="J59" i="5"/>
  <c r="G44" i="5"/>
  <c r="D44" i="5"/>
  <c r="G43" i="5"/>
  <c r="D43" i="5"/>
  <c r="G42" i="5"/>
  <c r="J39" i="5"/>
  <c r="J38" i="5"/>
  <c r="C43" i="5" l="1"/>
  <c r="H43" i="5" s="1"/>
  <c r="C42" i="5"/>
  <c r="H30" i="3"/>
  <c r="J61" i="5"/>
  <c r="F66" i="5" s="1"/>
  <c r="E42" i="5"/>
  <c r="D32" i="3"/>
  <c r="F17" i="4" s="1"/>
  <c r="J59" i="6"/>
  <c r="K59" i="6" s="1"/>
  <c r="F69" i="6"/>
  <c r="J69" i="6" s="1"/>
  <c r="K69" i="6" s="1"/>
  <c r="K73" i="6" s="1"/>
  <c r="E79" i="6"/>
  <c r="F94" i="6" s="1"/>
  <c r="G94" i="6" s="1"/>
  <c r="K94" i="6" s="1"/>
  <c r="K98" i="6" s="1"/>
  <c r="J107" i="5"/>
  <c r="G106" i="5"/>
  <c r="F94" i="5"/>
  <c r="G95" i="5"/>
  <c r="H95" i="5" s="1"/>
  <c r="G105" i="5"/>
  <c r="F64" i="5"/>
  <c r="J64" i="5" s="1"/>
  <c r="E43" i="5"/>
  <c r="F65" i="5"/>
  <c r="E44" i="5"/>
  <c r="I64" i="5"/>
  <c r="C44" i="5"/>
  <c r="D106" i="5"/>
  <c r="D66" i="5"/>
  <c r="D65" i="5"/>
  <c r="E107" i="5"/>
  <c r="F79" i="6" l="1"/>
  <c r="J79" i="6" s="1"/>
  <c r="K79" i="6" s="1"/>
  <c r="K83" i="6" s="1"/>
  <c r="K63" i="6"/>
  <c r="I105" i="5"/>
  <c r="E111" i="5"/>
  <c r="F115" i="5" s="1"/>
  <c r="I106" i="5"/>
  <c r="I43" i="5"/>
  <c r="J43" i="5" s="1"/>
  <c r="H42" i="5"/>
  <c r="I42" i="5" s="1"/>
  <c r="J42" i="5" s="1"/>
  <c r="I66" i="5"/>
  <c r="J66" i="5" s="1"/>
  <c r="H44" i="5"/>
  <c r="I44" i="5" s="1"/>
  <c r="J44" i="5" s="1"/>
  <c r="I65" i="5"/>
  <c r="J65" i="5" s="1"/>
  <c r="J45" i="5" l="1"/>
  <c r="K85" i="6"/>
  <c r="J67" i="5"/>
  <c r="G124" i="5"/>
  <c r="G158" i="6" l="1"/>
  <c r="G110" i="6"/>
  <c r="G111" i="6" s="1"/>
  <c r="G78" i="5"/>
  <c r="G79" i="5" s="1"/>
  <c r="G157" i="6" l="1"/>
  <c r="I146" i="6"/>
  <c r="H149" i="6" s="1"/>
  <c r="F113" i="6"/>
  <c r="G123" i="5"/>
  <c r="I112" i="5"/>
  <c r="H115" i="5" s="1"/>
  <c r="F81" i="5"/>
  <c r="J149" i="6" l="1"/>
  <c r="G149" i="6"/>
  <c r="G113" i="6"/>
  <c r="J113" i="6"/>
  <c r="G81" i="5"/>
  <c r="J81" i="5"/>
  <c r="J115" i="5"/>
  <c r="G115" i="5"/>
  <c r="F117" i="4" l="1"/>
  <c r="G90" i="1" l="1"/>
  <c r="G96" i="4" l="1"/>
  <c r="G95" i="4"/>
  <c r="F27" i="4" l="1"/>
  <c r="F26" i="4"/>
  <c r="F25" i="4"/>
  <c r="F16" i="4"/>
  <c r="F15" i="4"/>
  <c r="G262" i="1"/>
  <c r="F262" i="1"/>
  <c r="F143" i="4" s="1"/>
  <c r="G261" i="1"/>
  <c r="F261" i="1"/>
  <c r="G260" i="1"/>
  <c r="F144" i="4" s="1"/>
  <c r="F260" i="1"/>
  <c r="G259" i="1"/>
  <c r="F141" i="4" s="1"/>
  <c r="F259" i="1"/>
  <c r="G258" i="1"/>
  <c r="P256" i="1"/>
  <c r="I255" i="1" s="1"/>
  <c r="P255" i="1"/>
  <c r="I246" i="1"/>
  <c r="H250" i="1" s="1"/>
  <c r="F246" i="1"/>
  <c r="P244" i="1"/>
  <c r="I243" i="1" s="1"/>
  <c r="J244" i="1" s="1"/>
  <c r="P243" i="1"/>
  <c r="E237" i="1"/>
  <c r="B236" i="1"/>
  <c r="I223" i="1"/>
  <c r="E224" i="1" s="1"/>
  <c r="I211" i="1"/>
  <c r="E212" i="1" s="1"/>
  <c r="E52" i="4" l="1"/>
  <c r="I52" i="4"/>
  <c r="P151" i="4"/>
  <c r="F148" i="4" s="1"/>
  <c r="P149" i="4"/>
  <c r="P150" i="4"/>
  <c r="F116" i="4"/>
  <c r="F126" i="4" s="1"/>
  <c r="A55" i="4"/>
  <c r="F125" i="4"/>
  <c r="F124" i="4"/>
  <c r="I55" i="4"/>
  <c r="F140" i="4"/>
  <c r="F47" i="4"/>
  <c r="J256" i="1"/>
  <c r="E250" i="1"/>
  <c r="I148" i="4" l="1"/>
  <c r="F118" i="4"/>
  <c r="E128" i="4" s="1"/>
  <c r="P145" i="4"/>
  <c r="P146" i="4"/>
  <c r="P147" i="4"/>
  <c r="E82" i="4"/>
  <c r="I82" i="4"/>
  <c r="G128" i="4" l="1"/>
  <c r="I146" i="4"/>
  <c r="F146" i="4"/>
  <c r="I156" i="4"/>
  <c r="F156" i="4"/>
  <c r="I175" i="1" l="1"/>
  <c r="G175" i="1"/>
  <c r="E174" i="1"/>
  <c r="A66" i="1"/>
  <c r="E148" i="1"/>
  <c r="E151" i="1" s="1"/>
  <c r="E147" i="1"/>
  <c r="E131" i="1"/>
  <c r="I134" i="1" s="1"/>
  <c r="D138" i="1" s="1"/>
  <c r="E130" i="1"/>
  <c r="E136" i="1" s="1"/>
  <c r="H125" i="1"/>
  <c r="C92" i="1"/>
  <c r="I184" i="1" l="1"/>
  <c r="E179" i="1"/>
  <c r="I153" i="1"/>
  <c r="E214" i="1"/>
  <c r="H203" i="1"/>
  <c r="H214" i="1"/>
  <c r="I179" i="1"/>
  <c r="E184" i="1"/>
  <c r="I136" i="1"/>
  <c r="F205" i="1" s="1"/>
  <c r="E203" i="1"/>
  <c r="I138" i="1"/>
  <c r="H252" i="1"/>
  <c r="H253" i="1" s="1"/>
  <c r="J257" i="1" s="1"/>
  <c r="F253" i="1"/>
  <c r="E153" i="1"/>
  <c r="E134" i="1"/>
  <c r="I151" i="1"/>
  <c r="I140" i="1" l="1"/>
  <c r="F142" i="1" s="1"/>
  <c r="I205" i="1"/>
  <c r="I215" i="1"/>
  <c r="E215" i="1"/>
  <c r="E204" i="1"/>
  <c r="I204" i="1"/>
  <c r="D155" i="1"/>
  <c r="I216" i="1"/>
  <c r="F216" i="1"/>
  <c r="C140" i="1"/>
  <c r="I155" i="1"/>
  <c r="I157" i="1" s="1"/>
  <c r="F180" i="1" l="1"/>
  <c r="F185" i="1"/>
  <c r="C157" i="1"/>
  <c r="F159" i="1"/>
  <c r="E73" i="1" l="1"/>
  <c r="B73" i="1"/>
  <c r="E72" i="1"/>
  <c r="B72" i="1"/>
  <c r="E80" i="1" l="1"/>
  <c r="B80" i="1"/>
  <c r="E77" i="1"/>
  <c r="B81" i="1"/>
  <c r="E81" i="1"/>
  <c r="B76" i="1"/>
  <c r="E76" i="1"/>
  <c r="B77" i="1"/>
  <c r="G110" i="1" l="1"/>
  <c r="G109" i="1"/>
  <c r="F110" i="1"/>
  <c r="F109" i="1"/>
  <c r="F114" i="1" l="1"/>
  <c r="H142" i="1" s="1"/>
  <c r="I142" i="1" s="1"/>
  <c r="F115" i="1"/>
  <c r="F178" i="1" l="1"/>
  <c r="I178" i="1"/>
  <c r="G142" i="1"/>
  <c r="H159" i="1"/>
  <c r="G159" i="1" s="1"/>
  <c r="I183" i="1"/>
  <c r="F183" i="1"/>
  <c r="H180" i="1"/>
  <c r="I180" i="1" s="1"/>
  <c r="G180" i="1"/>
  <c r="I159" i="1"/>
  <c r="H185" i="1" l="1"/>
  <c r="I185" i="1" s="1"/>
  <c r="G185" i="1"/>
  <c r="G94" i="4" l="1"/>
  <c r="D99" i="4" l="1"/>
  <c r="G99" i="4"/>
  <c r="F14" i="4" l="1"/>
  <c r="F123" i="4" s="1"/>
  <c r="F39" i="1"/>
  <c r="E207" i="1" l="1"/>
  <c r="E208" i="1" s="1"/>
  <c r="F217" i="1"/>
  <c r="I217" i="1"/>
  <c r="F219" i="1" s="1"/>
  <c r="F220" i="1" s="1"/>
  <c r="E51" i="4"/>
  <c r="I51" i="4"/>
  <c r="I57" i="4" s="1"/>
  <c r="E57" i="4" l="1"/>
  <c r="I221" i="1"/>
  <c r="C227" i="1" s="1"/>
  <c r="F229" i="1" s="1"/>
  <c r="D221" i="1"/>
  <c r="I209" i="1"/>
  <c r="D209" i="1"/>
  <c r="D210" i="1" l="1"/>
  <c r="I210" i="1"/>
  <c r="G212" i="1" s="1"/>
  <c r="I222" i="1"/>
  <c r="G224" i="1" s="1"/>
  <c r="D222" i="1"/>
  <c r="C102" i="4"/>
  <c r="B130" i="4"/>
  <c r="H105" i="4" l="1"/>
  <c r="D134" i="4" s="1"/>
  <c r="E105" i="4"/>
  <c r="F212" i="1"/>
  <c r="H212" i="1"/>
  <c r="F224" i="1"/>
  <c r="H224" i="1"/>
  <c r="I130" i="4"/>
  <c r="D135" i="4" s="1"/>
  <c r="F87" i="4" l="1"/>
  <c r="H90" i="4" l="1"/>
  <c r="D90" i="4"/>
  <c r="F162" i="4" l="1"/>
  <c r="D133" i="4"/>
  <c r="E138" i="4" l="1"/>
  <c r="D136" i="4"/>
  <c r="F150" i="4" l="1"/>
  <c r="I150" i="4"/>
  <c r="I153" i="4" s="1"/>
  <c r="C136" i="4"/>
  <c r="F136" i="4"/>
  <c r="C158" i="4" l="1"/>
  <c r="G158" i="4"/>
  <c r="F153" i="4"/>
  <c r="I160" i="4" l="1"/>
  <c r="D162" i="4" s="1"/>
  <c r="D160" i="4" l="1"/>
  <c r="E162" i="4"/>
  <c r="H162" i="4"/>
  <c r="J162" i="4" l="1"/>
</calcChain>
</file>

<file path=xl/sharedStrings.xml><?xml version="1.0" encoding="utf-8"?>
<sst xmlns="http://schemas.openxmlformats.org/spreadsheetml/2006/main" count="1324" uniqueCount="775">
  <si>
    <t>Structure Type</t>
  </si>
  <si>
    <t>Girder Spacing, maximum</t>
  </si>
  <si>
    <t>Number of girders</t>
  </si>
  <si>
    <t>Overall Deck width</t>
  </si>
  <si>
    <t>Deck slab thickness</t>
  </si>
  <si>
    <t>Overhang thickness (average)</t>
  </si>
  <si>
    <t>Concrete top cover</t>
  </si>
  <si>
    <t>Concrete bottom cover</t>
  </si>
  <si>
    <t>Wearing surface</t>
  </si>
  <si>
    <t>Concrete strength</t>
  </si>
  <si>
    <t>Reinforcement strength</t>
  </si>
  <si>
    <t>Concrete density</t>
  </si>
  <si>
    <t>Deck overlay density</t>
  </si>
  <si>
    <t>Allowance for future utilities</t>
  </si>
  <si>
    <t>Resistance factors</t>
  </si>
  <si>
    <t>Correction factor for source aggregate</t>
  </si>
  <si>
    <t>Modulus of elasticity of reinforcement</t>
  </si>
  <si>
    <t>Modulus of elasticity of concrete</t>
  </si>
  <si>
    <t>Modular ratio</t>
  </si>
  <si>
    <t>Girder Type</t>
  </si>
  <si>
    <t>Girder web thickness</t>
  </si>
  <si>
    <t>Girder top flange width</t>
  </si>
  <si>
    <t>Barrier Type</t>
  </si>
  <si>
    <t>CY of concrete for barrier section</t>
  </si>
  <si>
    <t>Barrier Weight</t>
  </si>
  <si>
    <t>(Refer to CDOT bridge Worksheet B-606-10MASH for more details)</t>
  </si>
  <si>
    <t>ft</t>
  </si>
  <si>
    <t>ea</t>
  </si>
  <si>
    <t>in</t>
  </si>
  <si>
    <t>CIP Concrete Deck</t>
  </si>
  <si>
    <t>Box Girder</t>
  </si>
  <si>
    <t>Type 10MASH</t>
  </si>
  <si>
    <t>ksi</t>
  </si>
  <si>
    <t>kcf</t>
  </si>
  <si>
    <t>ksf</t>
  </si>
  <si>
    <t>(strength limit state)</t>
  </si>
  <si>
    <t>(extreme event limit state)</t>
  </si>
  <si>
    <t>web=</t>
  </si>
  <si>
    <t>flange=</t>
  </si>
  <si>
    <t>AASHTO T 5.10.1-1</t>
  </si>
  <si>
    <t>AASHTO T 5.10.1-1 &amp; BDM 5.4.3</t>
  </si>
  <si>
    <t>AASHTO 5.4.3.2</t>
  </si>
  <si>
    <t>AASHTO 5.4.2.4</t>
  </si>
  <si>
    <t>kip/ft</t>
  </si>
  <si>
    <t>BDM 3.4.2</t>
  </si>
  <si>
    <t>BDM 3.4.3</t>
  </si>
  <si>
    <t>ksi (Minimum yield strength of grade 60 steel)</t>
  </si>
  <si>
    <t>Bar#</t>
  </si>
  <si>
    <t>Area</t>
  </si>
  <si>
    <t>Diameter</t>
  </si>
  <si>
    <t>GENERAL INFORMATION</t>
  </si>
  <si>
    <t xml:space="preserve">Overall barrier height </t>
  </si>
  <si>
    <t>in.</t>
  </si>
  <si>
    <t>Concrete cover</t>
  </si>
  <si>
    <t>c =</t>
  </si>
  <si>
    <t>(Extreme Event)</t>
  </si>
  <si>
    <t>AASHTO 1.3.2.1</t>
  </si>
  <si>
    <t>(A325 bolts in shear)</t>
  </si>
  <si>
    <t>AASHTO 6.5.4.2</t>
  </si>
  <si>
    <t>(A325 bolts in tension)</t>
  </si>
  <si>
    <t xml:space="preserve">Test level </t>
  </si>
  <si>
    <t>TL-4</t>
  </si>
  <si>
    <t>AASHTO T.A13.2-1</t>
  </si>
  <si>
    <t>Transverse design force</t>
  </si>
  <si>
    <t>kips</t>
  </si>
  <si>
    <t>Impact force distribution</t>
  </si>
  <si>
    <t>ft.</t>
  </si>
  <si>
    <t>CONCRETE PARAPET</t>
  </si>
  <si>
    <t>Height</t>
  </si>
  <si>
    <t>f'c =</t>
  </si>
  <si>
    <t>fy =</t>
  </si>
  <si>
    <t>RAIL POST</t>
  </si>
  <si>
    <t>Type</t>
  </si>
  <si>
    <t>W6x20</t>
  </si>
  <si>
    <t>AISC Table 1-1</t>
  </si>
  <si>
    <t>Steel grade</t>
  </si>
  <si>
    <t>ASTM A-572, Grade 50</t>
  </si>
  <si>
    <t>Post spacing</t>
  </si>
  <si>
    <t>L =</t>
  </si>
  <si>
    <t>ft. (max)</t>
  </si>
  <si>
    <t>Effective height</t>
  </si>
  <si>
    <t>Area of post</t>
  </si>
  <si>
    <t>Web depth</t>
  </si>
  <si>
    <t>D =</t>
  </si>
  <si>
    <t>Web thickness</t>
  </si>
  <si>
    <t>Flange thickness</t>
  </si>
  <si>
    <t>Fy (post) =</t>
  </si>
  <si>
    <t>Zx-x (post) =</t>
  </si>
  <si>
    <t xml:space="preserve">               </t>
  </si>
  <si>
    <t>RAIL TUBES</t>
  </si>
  <si>
    <t>HSS 6x6x1/4</t>
  </si>
  <si>
    <t>AISC Table 1-12</t>
  </si>
  <si>
    <t>ASTM A-1085</t>
  </si>
  <si>
    <t>Area of one tube</t>
  </si>
  <si>
    <t>Number of tubes</t>
  </si>
  <si>
    <t>ea.</t>
  </si>
  <si>
    <t>Fy (tube) =</t>
  </si>
  <si>
    <t>Z (tube) =</t>
  </si>
  <si>
    <t>BASE PLATE</t>
  </si>
  <si>
    <t>Width of base plate</t>
  </si>
  <si>
    <t>Distance to bolts</t>
  </si>
  <si>
    <t>Bolt diameter</t>
  </si>
  <si>
    <t>Ø =</t>
  </si>
  <si>
    <t>Min tensile strength</t>
  </si>
  <si>
    <t>Number of bolts</t>
  </si>
  <si>
    <t>CONCRETE PARAPET CAPACITY</t>
  </si>
  <si>
    <t xml:space="preserve">Back face horizontal reinforcement </t>
  </si>
  <si>
    <t>Size =</t>
  </si>
  <si>
    <t>Bar Diameter =</t>
  </si>
  <si>
    <t>Number of bars =</t>
  </si>
  <si>
    <t>Bar Area =</t>
  </si>
  <si>
    <t>Stirrup Dia. =</t>
  </si>
  <si>
    <t>Design strip, b =</t>
  </si>
  <si>
    <t>Area of steel per design strip</t>
  </si>
  <si>
    <t>Effective depth of section</t>
  </si>
  <si>
    <t>Depth of equivalent stress block</t>
  </si>
  <si>
    <t>Flexural resistance</t>
  </si>
  <si>
    <t>kip-ft.</t>
  </si>
  <si>
    <t>Flexural moment resistance</t>
  </si>
  <si>
    <t>kip-ft./ft.</t>
  </si>
  <si>
    <t>Critical length of yield line failure pattern</t>
  </si>
  <si>
    <t xml:space="preserve">in. </t>
  </si>
  <si>
    <t>kip</t>
  </si>
  <si>
    <t>AASHTO A13.3.1-1</t>
  </si>
  <si>
    <t>Axial load per unit length</t>
  </si>
  <si>
    <t>kip/ft.</t>
  </si>
  <si>
    <t>Controlling Axial Load Per Unit Length of the Deck</t>
  </si>
  <si>
    <t>Deck Overhang Moment</t>
  </si>
  <si>
    <t>Width at base</t>
  </si>
  <si>
    <t>Reinforcing Steel</t>
  </si>
  <si>
    <t>Concrete Compressive Strength</t>
  </si>
  <si>
    <t>N=</t>
  </si>
  <si>
    <t>kip-ft</t>
  </si>
  <si>
    <t>Number of spans</t>
  </si>
  <si>
    <t>Yielding of all rails</t>
  </si>
  <si>
    <t>post spacing</t>
  </si>
  <si>
    <t>L=</t>
  </si>
  <si>
    <t>AASHTO A13.3.2-1</t>
  </si>
  <si>
    <t>AASHTO A13.3.3-1</t>
  </si>
  <si>
    <t>AASHTO A13.3.3-2</t>
  </si>
  <si>
    <t>The resistance of each component of a combination bridge rail shall be determined as specified in Article A13.3.1 and A13.3.2 of the AASHTO code.  The flexural strength of the rail shall be determined over one and two spans.  The resistance of the combination parapet and rail shall be taken as the lesser of the resistances determined for the two failure modes.</t>
  </si>
  <si>
    <t>Yielding of post</t>
  </si>
  <si>
    <t>AASHTO A13.3.2-2</t>
  </si>
  <si>
    <t>AASHTO A13.3.3-3</t>
  </si>
  <si>
    <t>AASHTO A13.3.3-5</t>
  </si>
  <si>
    <t>AASHTO A13.3.3-4</t>
  </si>
  <si>
    <t>kip-ft/ft</t>
  </si>
  <si>
    <t>Y=</t>
  </si>
  <si>
    <t>Where:</t>
  </si>
  <si>
    <t>UNFACTORED DEAD LOADS</t>
  </si>
  <si>
    <t>klf</t>
  </si>
  <si>
    <t>k-ft/ft</t>
  </si>
  <si>
    <t>UNFACTORED LIVE LOADS</t>
  </si>
  <si>
    <t>Live load moment can be determined by using AASHTO LRFD Bridge Design Specifications Appendix A4 T.A4-1.  This table lists positive and negative moments per unit width of the deck with various girder spacings and various distances from the design section to the centerline of girders.  This table is based on the equivalent strip method and interpolation is allowed when needed.</t>
  </si>
  <si>
    <t>Deck superstructure type</t>
  </si>
  <si>
    <t>AASHTO T4.6.2.2.1-1</t>
  </si>
  <si>
    <t>AASHTO 4.6.2.1.6</t>
  </si>
  <si>
    <t>b</t>
  </si>
  <si>
    <t>At the face of the supporting component</t>
  </si>
  <si>
    <t>One-third the flange width from the centerline of support</t>
  </si>
  <si>
    <t>One-fourth the top beam width from centerline of beam</t>
  </si>
  <si>
    <t>Design section =</t>
  </si>
  <si>
    <t>Maximum Live Loads per unit width:</t>
  </si>
  <si>
    <t>AASHTO T. A4-1</t>
  </si>
  <si>
    <t>Positive Moment from LL</t>
  </si>
  <si>
    <t>Negative Moment from LL</t>
  </si>
  <si>
    <t>Girder spacing, S=</t>
  </si>
  <si>
    <t>FACTORED DESIGN LOADS</t>
  </si>
  <si>
    <t>Concrete decks must be investigated for strength, service and extreme limit states. Fatigue and fracture limit states do not need to be investigated (AASHTO 9.5).</t>
  </si>
  <si>
    <t>load modifier</t>
  </si>
  <si>
    <t>m - multiple presence factor, included in values from AASHTO T. A4-1</t>
  </si>
  <si>
    <t>IM - dynamic load allowance, included in values from AASHTO T. A4-1</t>
  </si>
  <si>
    <t>Load Combination</t>
  </si>
  <si>
    <t>Load Factors</t>
  </si>
  <si>
    <t>Design Moments</t>
  </si>
  <si>
    <t>Strength I</t>
  </si>
  <si>
    <t>Service I</t>
  </si>
  <si>
    <t xml:space="preserve">Controlling positive factored moment </t>
  </si>
  <si>
    <t>+Mu =</t>
  </si>
  <si>
    <t xml:space="preserve">Controlling negative factored moment </t>
  </si>
  <si>
    <t>-Mu =</t>
  </si>
  <si>
    <t>DECK SLAB STRENGTH DESIGN</t>
  </si>
  <si>
    <t>Design of deck reinforcement, including flexural resistance, limits of reinforcement, and control of cracking is based on AASHTO LRFD Bridge Design Specifications 5.7.3 (typical rectangular beam design). The following design method can be used for normal weight concrete with specified compressive strengths up to 15.0 ksi.  Refer to Section 9, Deck and Deck Systems, of this BDM for information about acceptable deck reinforcement sizes and spacing.</t>
  </si>
  <si>
    <t>Width of the design section</t>
  </si>
  <si>
    <t>b =</t>
  </si>
  <si>
    <t>Resistance factor for 
tension-controlled section</t>
  </si>
  <si>
    <t>AASHTO 5.5.4.2</t>
  </si>
  <si>
    <t>Positive Moment Capacity (bottom reinforcement)</t>
  </si>
  <si>
    <t>Try</t>
  </si>
  <si>
    <t>Bar size</t>
  </si>
  <si>
    <t>#</t>
  </si>
  <si>
    <t>Bar spacing</t>
  </si>
  <si>
    <t>s =</t>
  </si>
  <si>
    <t>Bar diameter</t>
  </si>
  <si>
    <t>Bar area</t>
  </si>
  <si>
    <t>Factored flexural resistance</t>
  </si>
  <si>
    <t>Negative Moment Capacity (top reinforcement)</t>
  </si>
  <si>
    <t>Bar Diameter</t>
  </si>
  <si>
    <t>Bar Area</t>
  </si>
  <si>
    <t>Area of steel per 1.00 ft. design strip</t>
  </si>
  <si>
    <t>Positive Moment</t>
  </si>
  <si>
    <t>Negative Moment</t>
  </si>
  <si>
    <t>Minimum Reinforcement</t>
  </si>
  <si>
    <t>AASHTO 5.6.3.3</t>
  </si>
  <si>
    <t>Cracking moment</t>
  </si>
  <si>
    <t>AASHTO 5.6.3.3-1</t>
  </si>
  <si>
    <t>When simplified by removing all values applicable to prestressed and noncomposite sections, this equation becomes the following:</t>
  </si>
  <si>
    <t>Flexural cracking variability factor</t>
  </si>
  <si>
    <t>(non-segmental brg.)</t>
  </si>
  <si>
    <t>Ratio of specified min. yield strength to ultimate tensile strength</t>
  </si>
  <si>
    <t>(A615 steel)</t>
  </si>
  <si>
    <t>Concrete density modification factor</t>
  </si>
  <si>
    <t>λ =</t>
  </si>
  <si>
    <t>AASHTO 5.4.2.8</t>
  </si>
  <si>
    <t xml:space="preserve">Modulus of rupture  </t>
  </si>
  <si>
    <t>AASHTO 5.4.2.6</t>
  </si>
  <si>
    <t xml:space="preserve">Section modulus of design section  </t>
  </si>
  <si>
    <t>CONTROL OF CRACKING AT SERVICE LIMIT STATE</t>
  </si>
  <si>
    <t>Cracking is controlled by the spacing of mild steel reinforcement in the layer closest to the tension face, which shall satisfy the following (need not be less than 5.00 in.):</t>
  </si>
  <si>
    <t>AASHTO 5.6.7-1</t>
  </si>
  <si>
    <t>In which:</t>
  </si>
  <si>
    <t>- exposure factor (1.0 for Class 1 and 0.75 for Class 2) (assume waterproofing membrane is used)</t>
  </si>
  <si>
    <t>ratio of flexural strain at the extreme tension face to the strain at the centroid of the reinforcement layer nearest the tension face</t>
  </si>
  <si>
    <t>Tension reinforcement ratio</t>
  </si>
  <si>
    <t>Spacing of positive moment reinforcement used in the design =</t>
  </si>
  <si>
    <t xml:space="preserve">Tension reinforcement ratio </t>
  </si>
  <si>
    <t xml:space="preserve">Modular ratio              </t>
  </si>
  <si>
    <t>Spacing of negative moment reinforcement used in the design =</t>
  </si>
  <si>
    <t>LONGITUDINAL REINFORCEMENT</t>
  </si>
  <si>
    <t>Minimum reinforcement is required in all directions to accommodate shrinkage and temperature changes near the surface of the slab. Longitudinal reinforcement on each face shall meet the following:</t>
  </si>
  <si>
    <t>AASHTO 5.10.6-1</t>
  </si>
  <si>
    <t>AASHTO 5.10.6-2</t>
  </si>
  <si>
    <t>Top reinforcement    try</t>
  </si>
  <si>
    <t>on center:</t>
  </si>
  <si>
    <t>Effective span length</t>
  </si>
  <si>
    <t>AASHTO 9.7.2.3</t>
  </si>
  <si>
    <t>Amount of reinforcement required in secondary direction in the bottom of the slab</t>
  </si>
  <si>
    <t>Use -</t>
  </si>
  <si>
    <t>AASHTO 9.7.3.2</t>
  </si>
  <si>
    <t>Area of primary reinforcement for positive moment =</t>
  </si>
  <si>
    <t>Required area of bottom longitudinal steel:</t>
  </si>
  <si>
    <t>Bottom reinforcement try</t>
  </si>
  <si>
    <t>Per Section 9.6 of the CDOT BDM, the minimum longitudinal reinforcing steel in the top of the concrete bridge deck shall be #4 @ 6.00 in. Longitudinal reinforcement in the bottom of the deck slab can be distributed as a percentage of the primary reinforcement for positive moment.</t>
  </si>
  <si>
    <t>DECK SECTION SUMMARY</t>
  </si>
  <si>
    <t xml:space="preserve">Top Transverse Reinforcement </t>
  </si>
  <si>
    <t xml:space="preserve">Bottom Transverse Reinforcement </t>
  </si>
  <si>
    <t xml:space="preserve">Top Longitudinal Reinforcement </t>
  </si>
  <si>
    <t xml:space="preserve">Bottom Longitudinal Reinforcement </t>
  </si>
  <si>
    <t>Bridge deck overhang shall be designed for three separate design cases:</t>
  </si>
  <si>
    <t>AASHTO A13.4.1</t>
  </si>
  <si>
    <t>Barrier type</t>
  </si>
  <si>
    <t>Width of barrier base</t>
  </si>
  <si>
    <t>Barrier weight</t>
  </si>
  <si>
    <t>Section 3.4.2</t>
  </si>
  <si>
    <t>Barrier center of gravity</t>
  </si>
  <si>
    <t>Critical length of yield line</t>
  </si>
  <si>
    <t>Overhang width</t>
  </si>
  <si>
    <t>Edge of deck to edge of flange</t>
  </si>
  <si>
    <t>Overhang minimum depth</t>
  </si>
  <si>
    <t>Overhang maximum depth</t>
  </si>
  <si>
    <t>in. (at exterior edge of flange)</t>
  </si>
  <si>
    <t>AASHTO T.5.10.1-1</t>
  </si>
  <si>
    <t xml:space="preserve">Concrete strength </t>
  </si>
  <si>
    <t xml:space="preserve">Reinforcement strength </t>
  </si>
  <si>
    <t>kip/ft. (see Deck Design)</t>
  </si>
  <si>
    <t>kip-ft./ft. (refer to Type 10MASH Strength Design)</t>
  </si>
  <si>
    <t>ft. (refer to Type 10MASH Strength Design)</t>
  </si>
  <si>
    <t>kip/ft. (refer to Type 10MASH Strength Design)</t>
  </si>
  <si>
    <t>Distance from edge of deck to design section</t>
  </si>
  <si>
    <t>K =</t>
  </si>
  <si>
    <t>Distance from barrier face to design section</t>
  </si>
  <si>
    <t>X =</t>
  </si>
  <si>
    <t>Depth of the section under consideration</t>
  </si>
  <si>
    <t>in. (may add min haunch depth if needed, 
conservative to use constant deck depth)</t>
  </si>
  <si>
    <t>Bending moments from dead load of structural components and nonstructural attachments:</t>
  </si>
  <si>
    <t>Barrier</t>
  </si>
  <si>
    <t>Deck</t>
  </si>
  <si>
    <t>Additional overhang concrete</t>
  </si>
  <si>
    <t>Bending moments from wearing surfaces and utilities:</t>
  </si>
  <si>
    <t>Deck overlay</t>
  </si>
  <si>
    <t>Bending moment from vehicular collision</t>
  </si>
  <si>
    <t>AASHTO 3.4.1, A13.4.1</t>
  </si>
  <si>
    <t>Design axial tensile load</t>
  </si>
  <si>
    <t>Top transverse reinforcement:</t>
  </si>
  <si>
    <t>(see Deck Design)</t>
  </si>
  <si>
    <t>Design factored moment (Extreme Event II, Case I)</t>
  </si>
  <si>
    <t>Test Level</t>
  </si>
  <si>
    <t>Vertical Design Force</t>
  </si>
  <si>
    <t>Longitudinal distribution of Vertical force</t>
  </si>
  <si>
    <t>Extreme Event II</t>
  </si>
  <si>
    <t>Bending moment on overhang due to vertical forces</t>
  </si>
  <si>
    <t>Dead Load moment</t>
  </si>
  <si>
    <t xml:space="preserve">For decks with overhangs not exceeding 6.00 ft. measured from the centerline of the exterior girder to the face of a structurally continuous concrete railing, the outside row of wheel loads may be replaced with a uniformly distributed line load of 1.0 klf intensity per AASHTO LRFD Bridge Design Specifications 3.6.1.3.4. </t>
  </si>
  <si>
    <t>Distance from LL application to design section</t>
  </si>
  <si>
    <t>z  =</t>
  </si>
  <si>
    <t>Live Load multiple presence factor</t>
  </si>
  <si>
    <t>m =</t>
  </si>
  <si>
    <t>AASHTO T.3.6.1.1.2-1</t>
  </si>
  <si>
    <t>Dynamic load allowance</t>
  </si>
  <si>
    <t>IM =</t>
  </si>
  <si>
    <t>AASHTO 3.6.2</t>
  </si>
  <si>
    <t>Bending moment from Dead Loads (equal to the loads calculated for Design Case 1)</t>
  </si>
  <si>
    <t xml:space="preserve">Barrier </t>
  </si>
  <si>
    <t xml:space="preserve">Deck </t>
  </si>
  <si>
    <t>Add. overhang concrete</t>
  </si>
  <si>
    <t>Bending moment from live load</t>
  </si>
  <si>
    <t>Design factored moment (Strength I)</t>
  </si>
  <si>
    <t>AASHTO 3.6.1.3.4</t>
  </si>
  <si>
    <t>Design Case 1</t>
  </si>
  <si>
    <t>Design Case 2</t>
  </si>
  <si>
    <t>Design Case 3</t>
  </si>
  <si>
    <t>Controlling Case =</t>
  </si>
  <si>
    <t>one-quarter the flange width from the centerline of support</t>
  </si>
  <si>
    <t>Thickness of base plate</t>
  </si>
  <si>
    <t>S = I/y where I is the moment of inertia and y is the distance of the neutral axis to any given fiber</t>
  </si>
  <si>
    <t>For a rectangular area Ix = 1/12bh^3 and y with a neutral axis in the middle would be h/2</t>
  </si>
  <si>
    <t>reducing the equation to bh^2/6</t>
  </si>
  <si>
    <t>Stirrup spacing =</t>
  </si>
  <si>
    <t>Stirrup Size =</t>
  </si>
  <si>
    <t>CG of impact force above curb</t>
  </si>
  <si>
    <t>(Other odd spans didn't control and so not included)</t>
  </si>
  <si>
    <t>(Other even spans didn't control and so not included)</t>
  </si>
  <si>
    <t>a. Plastic moment capacity of the post</t>
  </si>
  <si>
    <t>Thickness of the weld</t>
  </si>
  <si>
    <t>Depth of W beam</t>
  </si>
  <si>
    <t>Calculate fillet weld strength as a line (Design of Welded Structures by Blodgett)</t>
  </si>
  <si>
    <t>Strength of the weld</t>
  </si>
  <si>
    <t>Maximum weld moment</t>
  </si>
  <si>
    <t>Maximum shear force at base</t>
  </si>
  <si>
    <t>Shear resistance</t>
  </si>
  <si>
    <t>b. Weld connection strength</t>
  </si>
  <si>
    <t>AASHTO 6.13.2.7-2</t>
  </si>
  <si>
    <t>Flange width</t>
  </si>
  <si>
    <t>c. Bolt shear strength</t>
  </si>
  <si>
    <t>See table below</t>
  </si>
  <si>
    <t>Spacing of bolts</t>
  </si>
  <si>
    <t>d. Concrete breakout shear strength</t>
  </si>
  <si>
    <t>Basic shear strength</t>
  </si>
  <si>
    <t>Basic shear strength is minimum of</t>
  </si>
  <si>
    <t>Shear strength</t>
  </si>
  <si>
    <t>Minimum strength of post in shear</t>
  </si>
  <si>
    <t>ACI 318 17.7.2</t>
  </si>
  <si>
    <t>ACI 318 17.7.2.3</t>
  </si>
  <si>
    <t>ACI 318 17.7.2.4</t>
  </si>
  <si>
    <t>ACI 318 17.7.2.5</t>
  </si>
  <si>
    <t>ACI 318 17.7.2.6</t>
  </si>
  <si>
    <t>Maximum area =</t>
  </si>
  <si>
    <t>e. Bolt tensile strength</t>
  </si>
  <si>
    <t>Moment lever arm = 7" - c/2</t>
  </si>
  <si>
    <t>Tensile strength of 2 bolts =</t>
  </si>
  <si>
    <t>Bolt tensile strength</t>
  </si>
  <si>
    <t>Impact at Midspan (3 spans)</t>
  </si>
  <si>
    <t>Impact at Post (2 spans)</t>
  </si>
  <si>
    <t>Therefore</t>
  </si>
  <si>
    <t>T =</t>
  </si>
  <si>
    <t xml:space="preserve">The deck overhang region shall be designed to have resistance larger than the MASH impact forces. Therefore, analysis of MASH barriers must be done. Refer to Example 6.2 for detailed strength calculations for Barrier Type 10 MASH. </t>
  </si>
  <si>
    <t xml:space="preserve">Both design bending moment and design axial tension are calculated based on the properties of the barrier on the deck. See Type 10MASH tab for information on strength design. </t>
  </si>
  <si>
    <t>Area of top steel per design strip</t>
  </si>
  <si>
    <t>Area of bottom steel per design strip</t>
  </si>
  <si>
    <t>Area of top steel per design strip resisting moment</t>
  </si>
  <si>
    <t>Bottom transverse reinforcement:</t>
  </si>
  <si>
    <t>1. Approximate Elastic Method, or "Equivalent Strip" Method (AASHTO 4.6.2.1)</t>
  </si>
  <si>
    <t>2. Refined Methods (AASHTO 4.6.3.2)</t>
  </si>
  <si>
    <t>3. Empirical Design Method (AASHTO 9.7.2)</t>
  </si>
  <si>
    <t>This design example uses the Approximate Elastic Method (Equivalent Strip Method), in which the deck is divided into transverse strips, assumed to be supported on rigid supports at the center of the girders.</t>
  </si>
  <si>
    <t>APPENDIX A</t>
  </si>
  <si>
    <t>EXAMPLE 6.1 - DECK DESIGN</t>
  </si>
  <si>
    <t>γ - load factors specified in AASHTO T.3.4.1-1, T.3.4.1-2</t>
  </si>
  <si>
    <t>MATERIAL AND SECTION PROPERTIES</t>
  </si>
  <si>
    <t>Based on AASHTO LRFD Bridge Design Specifications 9.6.1, there are 3 methods of deck analysis:</t>
  </si>
  <si>
    <r>
      <t>S</t>
    </r>
    <r>
      <rPr>
        <vertAlign val="subscript"/>
        <sz val="9"/>
        <color theme="1"/>
        <rFont val="Arial"/>
        <family val="2"/>
      </rPr>
      <t>Gdr</t>
    </r>
    <r>
      <rPr>
        <sz val="9"/>
        <color theme="1"/>
        <rFont val="Arial"/>
        <family val="2"/>
      </rPr>
      <t>=</t>
    </r>
  </si>
  <si>
    <r>
      <t>N</t>
    </r>
    <r>
      <rPr>
        <vertAlign val="subscript"/>
        <sz val="9"/>
        <color theme="1"/>
        <rFont val="Arial"/>
        <family val="2"/>
      </rPr>
      <t>Gdr</t>
    </r>
    <r>
      <rPr>
        <sz val="9"/>
        <color theme="1"/>
        <rFont val="Arial"/>
        <family val="2"/>
      </rPr>
      <t>=</t>
    </r>
  </si>
  <si>
    <r>
      <t>W</t>
    </r>
    <r>
      <rPr>
        <vertAlign val="subscript"/>
        <sz val="9"/>
        <color theme="1"/>
        <rFont val="Arial"/>
        <family val="2"/>
      </rPr>
      <t>deck</t>
    </r>
    <r>
      <rPr>
        <sz val="9"/>
        <color theme="1"/>
        <rFont val="Arial"/>
        <family val="2"/>
      </rPr>
      <t>=</t>
    </r>
  </si>
  <si>
    <r>
      <t>t</t>
    </r>
    <r>
      <rPr>
        <vertAlign val="subscript"/>
        <sz val="9"/>
        <color theme="1"/>
        <rFont val="Arial"/>
        <family val="2"/>
      </rPr>
      <t>deck</t>
    </r>
    <r>
      <rPr>
        <sz val="9"/>
        <color theme="1"/>
        <rFont val="Arial"/>
        <family val="2"/>
      </rPr>
      <t>=</t>
    </r>
  </si>
  <si>
    <r>
      <t>t</t>
    </r>
    <r>
      <rPr>
        <vertAlign val="subscript"/>
        <sz val="9"/>
        <color theme="1"/>
        <rFont val="Arial"/>
        <family val="2"/>
      </rPr>
      <t>OH</t>
    </r>
    <r>
      <rPr>
        <sz val="9"/>
        <color theme="1"/>
        <rFont val="Arial"/>
        <family val="2"/>
      </rPr>
      <t>=</t>
    </r>
  </si>
  <si>
    <r>
      <t>c</t>
    </r>
    <r>
      <rPr>
        <vertAlign val="subscript"/>
        <sz val="9"/>
        <color theme="1"/>
        <rFont val="Arial"/>
        <family val="2"/>
      </rPr>
      <t>Top</t>
    </r>
    <r>
      <rPr>
        <sz val="9"/>
        <color theme="1"/>
        <rFont val="Arial"/>
        <family val="2"/>
      </rPr>
      <t>=</t>
    </r>
  </si>
  <si>
    <r>
      <t>c</t>
    </r>
    <r>
      <rPr>
        <vertAlign val="subscript"/>
        <sz val="9"/>
        <color theme="1"/>
        <rFont val="Arial"/>
        <family val="2"/>
      </rPr>
      <t>Bot</t>
    </r>
    <r>
      <rPr>
        <sz val="9"/>
        <color theme="1"/>
        <rFont val="Arial"/>
        <family val="2"/>
      </rPr>
      <t>=</t>
    </r>
  </si>
  <si>
    <r>
      <t>t</t>
    </r>
    <r>
      <rPr>
        <vertAlign val="subscript"/>
        <sz val="9"/>
        <color theme="1"/>
        <rFont val="Arial"/>
        <family val="2"/>
      </rPr>
      <t>WS</t>
    </r>
    <r>
      <rPr>
        <sz val="9"/>
        <color theme="1"/>
        <rFont val="Arial"/>
        <family val="2"/>
      </rPr>
      <t>=</t>
    </r>
  </si>
  <si>
    <r>
      <t>f'</t>
    </r>
    <r>
      <rPr>
        <vertAlign val="subscript"/>
        <sz val="9"/>
        <color theme="1"/>
        <rFont val="Arial"/>
        <family val="2"/>
      </rPr>
      <t>c</t>
    </r>
    <r>
      <rPr>
        <sz val="9"/>
        <color theme="1"/>
        <rFont val="Arial"/>
        <family val="2"/>
      </rPr>
      <t>=</t>
    </r>
  </si>
  <si>
    <r>
      <t>f</t>
    </r>
    <r>
      <rPr>
        <vertAlign val="subscript"/>
        <sz val="9"/>
        <color theme="1"/>
        <rFont val="Arial"/>
        <family val="2"/>
      </rPr>
      <t>y</t>
    </r>
    <r>
      <rPr>
        <sz val="9"/>
        <color theme="1"/>
        <rFont val="Arial"/>
        <family val="2"/>
      </rPr>
      <t>=</t>
    </r>
  </si>
  <si>
    <r>
      <t>W</t>
    </r>
    <r>
      <rPr>
        <vertAlign val="subscript"/>
        <sz val="9"/>
        <color theme="1"/>
        <rFont val="Arial"/>
        <family val="2"/>
      </rPr>
      <t>c</t>
    </r>
    <r>
      <rPr>
        <sz val="9"/>
        <color theme="1"/>
        <rFont val="Arial"/>
        <family val="2"/>
      </rPr>
      <t>=</t>
    </r>
  </si>
  <si>
    <r>
      <t>W</t>
    </r>
    <r>
      <rPr>
        <vertAlign val="subscript"/>
        <sz val="9"/>
        <color theme="1"/>
        <rFont val="Arial"/>
        <family val="2"/>
      </rPr>
      <t>WS</t>
    </r>
    <r>
      <rPr>
        <sz val="9"/>
        <color theme="1"/>
        <rFont val="Arial"/>
        <family val="2"/>
      </rPr>
      <t>=</t>
    </r>
  </si>
  <si>
    <r>
      <t>W</t>
    </r>
    <r>
      <rPr>
        <vertAlign val="subscript"/>
        <sz val="9"/>
        <color theme="1"/>
        <rFont val="Arial"/>
        <family val="2"/>
      </rPr>
      <t>util</t>
    </r>
    <r>
      <rPr>
        <sz val="9"/>
        <color theme="1"/>
        <rFont val="Arial"/>
        <family val="2"/>
      </rPr>
      <t>=</t>
    </r>
  </si>
  <si>
    <r>
      <rPr>
        <sz val="9"/>
        <rFont val="Arial"/>
        <family val="2"/>
      </rPr>
      <t>φ</t>
    </r>
    <r>
      <rPr>
        <vertAlign val="subscript"/>
        <sz val="9"/>
        <rFont val="Arial"/>
        <family val="2"/>
      </rPr>
      <t>STR</t>
    </r>
    <r>
      <rPr>
        <sz val="9"/>
        <color theme="1"/>
        <rFont val="Arial"/>
        <family val="2"/>
      </rPr>
      <t xml:space="preserve"> =</t>
    </r>
  </si>
  <si>
    <r>
      <rPr>
        <sz val="9"/>
        <rFont val="Arial"/>
        <family val="2"/>
      </rPr>
      <t>φ</t>
    </r>
    <r>
      <rPr>
        <vertAlign val="subscript"/>
        <sz val="9"/>
        <rFont val="Arial"/>
        <family val="2"/>
      </rPr>
      <t>EE</t>
    </r>
    <r>
      <rPr>
        <sz val="9"/>
        <color theme="1"/>
        <rFont val="Arial"/>
        <family val="2"/>
      </rPr>
      <t xml:space="preserve"> =</t>
    </r>
  </si>
  <si>
    <r>
      <t>K</t>
    </r>
    <r>
      <rPr>
        <vertAlign val="subscript"/>
        <sz val="9"/>
        <color theme="1"/>
        <rFont val="Arial"/>
        <family val="2"/>
      </rPr>
      <t>1</t>
    </r>
    <r>
      <rPr>
        <sz val="9"/>
        <color theme="1"/>
        <rFont val="Arial"/>
        <family val="2"/>
      </rPr>
      <t>=</t>
    </r>
  </si>
  <si>
    <r>
      <t>E</t>
    </r>
    <r>
      <rPr>
        <vertAlign val="subscript"/>
        <sz val="9"/>
        <color theme="1"/>
        <rFont val="Arial"/>
        <family val="2"/>
      </rPr>
      <t>s</t>
    </r>
    <r>
      <rPr>
        <sz val="9"/>
        <color theme="1"/>
        <rFont val="Arial"/>
        <family val="2"/>
      </rPr>
      <t>=</t>
    </r>
  </si>
  <si>
    <r>
      <t>E</t>
    </r>
    <r>
      <rPr>
        <vertAlign val="subscript"/>
        <sz val="9"/>
        <color theme="1"/>
        <rFont val="Arial"/>
        <family val="2"/>
      </rPr>
      <t>c</t>
    </r>
    <r>
      <rPr>
        <sz val="9"/>
        <color theme="1"/>
        <rFont val="Arial"/>
        <family val="2"/>
      </rPr>
      <t>=</t>
    </r>
  </si>
  <si>
    <r>
      <t>n=E</t>
    </r>
    <r>
      <rPr>
        <vertAlign val="subscript"/>
        <sz val="9"/>
        <color theme="1"/>
        <rFont val="Arial"/>
        <family val="2"/>
      </rPr>
      <t>s</t>
    </r>
    <r>
      <rPr>
        <sz val="9"/>
        <color theme="1"/>
        <rFont val="Arial"/>
        <family val="2"/>
      </rPr>
      <t>/E</t>
    </r>
    <r>
      <rPr>
        <vertAlign val="subscript"/>
        <sz val="9"/>
        <color theme="1"/>
        <rFont val="Arial"/>
        <family val="2"/>
      </rPr>
      <t>c</t>
    </r>
    <r>
      <rPr>
        <sz val="9"/>
        <color theme="1"/>
        <rFont val="Arial"/>
        <family val="2"/>
      </rPr>
      <t>=</t>
    </r>
  </si>
  <si>
    <r>
      <t>A</t>
    </r>
    <r>
      <rPr>
        <vertAlign val="subscript"/>
        <sz val="9"/>
        <color theme="1"/>
        <rFont val="Arial"/>
        <family val="2"/>
      </rPr>
      <t>B</t>
    </r>
    <r>
      <rPr>
        <sz val="9"/>
        <color theme="1"/>
        <rFont val="Arial"/>
        <family val="2"/>
      </rPr>
      <t>=</t>
    </r>
  </si>
  <si>
    <r>
      <t>W</t>
    </r>
    <r>
      <rPr>
        <vertAlign val="subscript"/>
        <sz val="9"/>
        <color theme="1"/>
        <rFont val="Arial"/>
        <family val="2"/>
      </rPr>
      <t>barrier</t>
    </r>
    <r>
      <rPr>
        <sz val="9"/>
        <color theme="1"/>
        <rFont val="Arial"/>
        <family val="2"/>
      </rPr>
      <t>=</t>
    </r>
  </si>
  <si>
    <r>
      <t>+Moment in terms of wl</t>
    </r>
    <r>
      <rPr>
        <vertAlign val="superscript"/>
        <sz val="9"/>
        <color theme="1"/>
        <rFont val="Arial"/>
        <family val="2"/>
      </rPr>
      <t>2</t>
    </r>
  </si>
  <si>
    <r>
      <t>-Moment in terms of wl</t>
    </r>
    <r>
      <rPr>
        <vertAlign val="superscript"/>
        <sz val="9"/>
        <color theme="1"/>
        <rFont val="Arial"/>
        <family val="2"/>
      </rPr>
      <t>2</t>
    </r>
  </si>
  <si>
    <r>
      <t>+M</t>
    </r>
    <r>
      <rPr>
        <vertAlign val="subscript"/>
        <sz val="9"/>
        <color theme="1"/>
        <rFont val="Arial"/>
        <family val="2"/>
      </rPr>
      <t>deck</t>
    </r>
    <r>
      <rPr>
        <sz val="9"/>
        <color theme="1"/>
        <rFont val="Arial"/>
        <family val="2"/>
      </rPr>
      <t>=</t>
    </r>
  </si>
  <si>
    <r>
      <t>+M</t>
    </r>
    <r>
      <rPr>
        <vertAlign val="subscript"/>
        <sz val="9"/>
        <color theme="1"/>
        <rFont val="Arial"/>
        <family val="2"/>
      </rPr>
      <t>WS</t>
    </r>
    <r>
      <rPr>
        <sz val="9"/>
        <color theme="1"/>
        <rFont val="Arial"/>
        <family val="2"/>
      </rPr>
      <t>=</t>
    </r>
  </si>
  <si>
    <r>
      <t>-M</t>
    </r>
    <r>
      <rPr>
        <vertAlign val="subscript"/>
        <sz val="9"/>
        <color theme="1"/>
        <rFont val="Arial"/>
        <family val="2"/>
      </rPr>
      <t>deck</t>
    </r>
    <r>
      <rPr>
        <sz val="9"/>
        <color theme="1"/>
        <rFont val="Arial"/>
        <family val="2"/>
      </rPr>
      <t>=</t>
    </r>
  </si>
  <si>
    <r>
      <t>-M</t>
    </r>
    <r>
      <rPr>
        <vertAlign val="subscript"/>
        <sz val="9"/>
        <color theme="1"/>
        <rFont val="Arial"/>
        <family val="2"/>
      </rPr>
      <t>WS</t>
    </r>
    <r>
      <rPr>
        <sz val="9"/>
        <color theme="1"/>
        <rFont val="Arial"/>
        <family val="2"/>
      </rPr>
      <t>=</t>
    </r>
  </si>
  <si>
    <r>
      <t>+M</t>
    </r>
    <r>
      <rPr>
        <vertAlign val="subscript"/>
        <sz val="9"/>
        <color theme="1"/>
        <rFont val="Arial"/>
        <family val="2"/>
      </rPr>
      <t>LL</t>
    </r>
    <r>
      <rPr>
        <sz val="9"/>
        <color theme="1"/>
        <rFont val="Arial"/>
        <family val="2"/>
      </rPr>
      <t>=</t>
    </r>
  </si>
  <si>
    <r>
      <t>-M</t>
    </r>
    <r>
      <rPr>
        <vertAlign val="subscript"/>
        <sz val="9"/>
        <color theme="1"/>
        <rFont val="Arial"/>
        <family val="2"/>
      </rPr>
      <t>LL</t>
    </r>
    <r>
      <rPr>
        <sz val="9"/>
        <color theme="1"/>
        <rFont val="Arial"/>
        <family val="2"/>
      </rPr>
      <t>=</t>
    </r>
  </si>
  <si>
    <r>
      <t>M</t>
    </r>
    <r>
      <rPr>
        <vertAlign val="subscript"/>
        <sz val="9"/>
        <rFont val="Arial"/>
        <family val="2"/>
      </rPr>
      <t>u</t>
    </r>
    <r>
      <rPr>
        <sz val="9"/>
        <color theme="1"/>
        <rFont val="Arial"/>
        <family val="2"/>
      </rPr>
      <t xml:space="preserve"> = </t>
    </r>
    <r>
      <rPr>
        <sz val="9"/>
        <rFont val="Arial"/>
        <family val="2"/>
      </rPr>
      <t xml:space="preserve">η </t>
    </r>
    <r>
      <rPr>
        <sz val="9"/>
        <color theme="1"/>
        <rFont val="Arial"/>
        <family val="2"/>
      </rPr>
      <t>[</t>
    </r>
    <r>
      <rPr>
        <sz val="9"/>
        <rFont val="Arial"/>
        <family val="2"/>
      </rPr>
      <t>γ</t>
    </r>
    <r>
      <rPr>
        <vertAlign val="subscript"/>
        <sz val="9"/>
        <rFont val="Arial"/>
        <family val="2"/>
      </rPr>
      <t>DC</t>
    </r>
    <r>
      <rPr>
        <sz val="9"/>
        <color theme="1"/>
        <rFont val="Arial"/>
        <family val="2"/>
      </rPr>
      <t>M</t>
    </r>
    <r>
      <rPr>
        <vertAlign val="subscript"/>
        <sz val="9"/>
        <rFont val="Arial"/>
        <family val="2"/>
      </rPr>
      <t>DC</t>
    </r>
    <r>
      <rPr>
        <sz val="9"/>
        <color theme="1"/>
        <rFont val="Arial"/>
        <family val="2"/>
      </rPr>
      <t xml:space="preserve"> + </t>
    </r>
    <r>
      <rPr>
        <sz val="9"/>
        <rFont val="Arial"/>
        <family val="2"/>
      </rPr>
      <t>γ</t>
    </r>
    <r>
      <rPr>
        <vertAlign val="subscript"/>
        <sz val="9"/>
        <rFont val="Arial"/>
        <family val="2"/>
      </rPr>
      <t>DW</t>
    </r>
    <r>
      <rPr>
        <sz val="9"/>
        <color theme="1"/>
        <rFont val="Arial"/>
        <family val="2"/>
      </rPr>
      <t>M</t>
    </r>
    <r>
      <rPr>
        <vertAlign val="subscript"/>
        <sz val="9"/>
        <rFont val="Arial"/>
        <family val="2"/>
      </rPr>
      <t>DW</t>
    </r>
    <r>
      <rPr>
        <sz val="9"/>
        <color theme="1"/>
        <rFont val="Arial"/>
        <family val="2"/>
      </rPr>
      <t xml:space="preserve"> + m </t>
    </r>
    <r>
      <rPr>
        <sz val="9"/>
        <rFont val="Arial"/>
        <family val="2"/>
      </rPr>
      <t>γ</t>
    </r>
    <r>
      <rPr>
        <vertAlign val="subscript"/>
        <sz val="9"/>
        <rFont val="Arial"/>
        <family val="2"/>
      </rPr>
      <t>LL</t>
    </r>
    <r>
      <rPr>
        <sz val="9"/>
        <color theme="1"/>
        <rFont val="Arial"/>
        <family val="2"/>
      </rPr>
      <t>(M</t>
    </r>
    <r>
      <rPr>
        <vertAlign val="subscript"/>
        <sz val="9"/>
        <rFont val="Arial"/>
        <family val="2"/>
      </rPr>
      <t>LL</t>
    </r>
    <r>
      <rPr>
        <sz val="9"/>
        <color theme="1"/>
        <rFont val="Arial"/>
        <family val="2"/>
      </rPr>
      <t>+ IM)]</t>
    </r>
  </si>
  <si>
    <r>
      <rPr>
        <sz val="9"/>
        <rFont val="Arial"/>
        <family val="2"/>
      </rPr>
      <t xml:space="preserve">η </t>
    </r>
    <r>
      <rPr>
        <sz val="9"/>
        <color theme="1"/>
        <rFont val="Arial"/>
        <family val="2"/>
      </rPr>
      <t>= 1.0</t>
    </r>
  </si>
  <si>
    <r>
      <t>γ</t>
    </r>
    <r>
      <rPr>
        <vertAlign val="subscript"/>
        <sz val="9"/>
        <color theme="1"/>
        <rFont val="Arial"/>
        <family val="2"/>
      </rPr>
      <t>DC_max</t>
    </r>
  </si>
  <si>
    <r>
      <t>γ</t>
    </r>
    <r>
      <rPr>
        <vertAlign val="subscript"/>
        <sz val="9"/>
        <color theme="1"/>
        <rFont val="Arial"/>
        <family val="2"/>
      </rPr>
      <t>DW_max</t>
    </r>
  </si>
  <si>
    <r>
      <rPr>
        <sz val="9"/>
        <rFont val="Arial"/>
        <family val="2"/>
      </rPr>
      <t>γ</t>
    </r>
    <r>
      <rPr>
        <vertAlign val="subscript"/>
        <sz val="9"/>
        <rFont val="Arial"/>
        <family val="2"/>
      </rPr>
      <t>LL</t>
    </r>
  </si>
  <si>
    <r>
      <t>+M</t>
    </r>
    <r>
      <rPr>
        <vertAlign val="subscript"/>
        <sz val="9"/>
        <color theme="1"/>
        <rFont val="Arial"/>
        <family val="2"/>
      </rPr>
      <t>LL</t>
    </r>
  </si>
  <si>
    <r>
      <t>-M</t>
    </r>
    <r>
      <rPr>
        <vertAlign val="subscript"/>
        <sz val="9"/>
        <color theme="1"/>
        <rFont val="Arial"/>
        <family val="2"/>
      </rPr>
      <t>LL</t>
    </r>
  </si>
  <si>
    <r>
      <t>Note - it is conservative to use minimum load factors for positive values of M</t>
    </r>
    <r>
      <rPr>
        <vertAlign val="subscript"/>
        <sz val="9"/>
        <rFont val="Arial"/>
        <family val="2"/>
      </rPr>
      <t>100</t>
    </r>
    <r>
      <rPr>
        <sz val="9"/>
        <color theme="1"/>
        <rFont val="Arial"/>
        <family val="2"/>
      </rPr>
      <t xml:space="preserve"> and M</t>
    </r>
    <r>
      <rPr>
        <vertAlign val="subscript"/>
        <sz val="9"/>
        <rFont val="Arial"/>
        <family val="2"/>
      </rPr>
      <t>200</t>
    </r>
    <r>
      <rPr>
        <sz val="9"/>
        <color theme="1"/>
        <rFont val="Arial"/>
        <family val="2"/>
      </rPr>
      <t xml:space="preserve"> and negative values of M</t>
    </r>
    <r>
      <rPr>
        <vertAlign val="subscript"/>
        <sz val="9"/>
        <rFont val="Arial"/>
        <family val="2"/>
      </rPr>
      <t>150</t>
    </r>
    <r>
      <rPr>
        <sz val="9"/>
        <color theme="1"/>
        <rFont val="Arial"/>
        <family val="2"/>
      </rPr>
      <t xml:space="preserve">. </t>
    </r>
  </si>
  <si>
    <r>
      <rPr>
        <sz val="9"/>
        <rFont val="Arial"/>
        <family val="2"/>
      </rPr>
      <t>φ</t>
    </r>
    <r>
      <rPr>
        <vertAlign val="subscript"/>
        <sz val="9"/>
        <rFont val="Arial"/>
        <family val="2"/>
      </rPr>
      <t>STR</t>
    </r>
    <r>
      <rPr>
        <sz val="9"/>
        <rFont val="Arial"/>
        <family val="2"/>
      </rPr>
      <t xml:space="preserve"> </t>
    </r>
    <r>
      <rPr>
        <sz val="9"/>
        <color theme="1"/>
        <rFont val="Arial"/>
        <family val="2"/>
      </rPr>
      <t>=</t>
    </r>
  </si>
  <si>
    <r>
      <t>d</t>
    </r>
    <r>
      <rPr>
        <vertAlign val="subscript"/>
        <sz val="9"/>
        <rFont val="Arial"/>
        <family val="2"/>
      </rPr>
      <t>b</t>
    </r>
    <r>
      <rPr>
        <sz val="9"/>
        <color theme="1"/>
        <rFont val="Arial"/>
        <family val="2"/>
      </rPr>
      <t xml:space="preserve"> =</t>
    </r>
  </si>
  <si>
    <r>
      <t>A</t>
    </r>
    <r>
      <rPr>
        <vertAlign val="subscript"/>
        <sz val="9"/>
        <rFont val="Arial"/>
        <family val="2"/>
      </rPr>
      <t>b</t>
    </r>
    <r>
      <rPr>
        <sz val="9"/>
        <color theme="1"/>
        <rFont val="Arial"/>
        <family val="2"/>
      </rPr>
      <t xml:space="preserve"> =</t>
    </r>
  </si>
  <si>
    <r>
      <t>in.</t>
    </r>
    <r>
      <rPr>
        <vertAlign val="superscript"/>
        <sz val="9"/>
        <color theme="1"/>
        <rFont val="Arial"/>
        <family val="2"/>
      </rPr>
      <t>2</t>
    </r>
  </si>
  <si>
    <r>
      <t>A</t>
    </r>
    <r>
      <rPr>
        <vertAlign val="subscript"/>
        <sz val="9"/>
        <rFont val="Arial"/>
        <family val="2"/>
      </rPr>
      <t>S</t>
    </r>
    <r>
      <rPr>
        <sz val="9"/>
        <color theme="1"/>
        <rFont val="Arial"/>
        <family val="2"/>
      </rPr>
      <t xml:space="preserve"> = b (A</t>
    </r>
    <r>
      <rPr>
        <vertAlign val="subscript"/>
        <sz val="9"/>
        <rFont val="Arial"/>
        <family val="2"/>
      </rPr>
      <t>b</t>
    </r>
    <r>
      <rPr>
        <sz val="9"/>
        <color theme="1"/>
        <rFont val="Arial"/>
        <family val="2"/>
      </rPr>
      <t xml:space="preserve"> / s) =</t>
    </r>
  </si>
  <si>
    <r>
      <t>d</t>
    </r>
    <r>
      <rPr>
        <vertAlign val="subscript"/>
        <sz val="9"/>
        <rFont val="Arial"/>
        <family val="2"/>
      </rPr>
      <t>S</t>
    </r>
    <r>
      <rPr>
        <sz val="9"/>
        <color theme="1"/>
        <rFont val="Arial"/>
        <family val="2"/>
      </rPr>
      <t xml:space="preserve"> = t</t>
    </r>
    <r>
      <rPr>
        <vertAlign val="subscript"/>
        <sz val="9"/>
        <rFont val="Arial"/>
        <family val="2"/>
      </rPr>
      <t>Deck</t>
    </r>
    <r>
      <rPr>
        <sz val="9"/>
        <color theme="1"/>
        <rFont val="Arial"/>
        <family val="2"/>
      </rPr>
      <t xml:space="preserve"> - c</t>
    </r>
    <r>
      <rPr>
        <vertAlign val="subscript"/>
        <sz val="9"/>
        <rFont val="Arial"/>
        <family val="2"/>
      </rPr>
      <t>Bot</t>
    </r>
    <r>
      <rPr>
        <sz val="9"/>
        <color theme="1"/>
        <rFont val="Arial"/>
        <family val="2"/>
      </rPr>
      <t xml:space="preserve"> - 1/2 d</t>
    </r>
    <r>
      <rPr>
        <vertAlign val="subscript"/>
        <sz val="9"/>
        <rFont val="Arial"/>
        <family val="2"/>
      </rPr>
      <t>b</t>
    </r>
    <r>
      <rPr>
        <sz val="9"/>
        <color theme="1"/>
        <rFont val="Arial"/>
        <family val="2"/>
      </rPr>
      <t xml:space="preserve"> = </t>
    </r>
  </si>
  <si>
    <r>
      <t>A</t>
    </r>
    <r>
      <rPr>
        <vertAlign val="subscript"/>
        <sz val="9"/>
        <rFont val="Arial"/>
        <family val="2"/>
      </rPr>
      <t>S</t>
    </r>
    <r>
      <rPr>
        <sz val="9"/>
        <color theme="1"/>
        <rFont val="Arial"/>
        <family val="2"/>
      </rPr>
      <t xml:space="preserve"> = B (A</t>
    </r>
    <r>
      <rPr>
        <vertAlign val="subscript"/>
        <sz val="9"/>
        <rFont val="Arial"/>
        <family val="2"/>
      </rPr>
      <t>b</t>
    </r>
    <r>
      <rPr>
        <sz val="9"/>
        <color theme="1"/>
        <rFont val="Arial"/>
        <family val="2"/>
      </rPr>
      <t xml:space="preserve"> / s) =</t>
    </r>
  </si>
  <si>
    <r>
      <t>d</t>
    </r>
    <r>
      <rPr>
        <vertAlign val="subscript"/>
        <sz val="9"/>
        <rFont val="Arial"/>
        <family val="2"/>
      </rPr>
      <t>S</t>
    </r>
    <r>
      <rPr>
        <sz val="9"/>
        <color theme="1"/>
        <rFont val="Arial"/>
        <family val="2"/>
      </rPr>
      <t xml:space="preserve"> = t</t>
    </r>
    <r>
      <rPr>
        <vertAlign val="subscript"/>
        <sz val="9"/>
        <rFont val="Arial"/>
        <family val="2"/>
      </rPr>
      <t>Deck</t>
    </r>
    <r>
      <rPr>
        <sz val="9"/>
        <color theme="1"/>
        <rFont val="Arial"/>
        <family val="2"/>
      </rPr>
      <t xml:space="preserve"> - c</t>
    </r>
    <r>
      <rPr>
        <vertAlign val="subscript"/>
        <sz val="9"/>
        <rFont val="Arial"/>
        <family val="2"/>
      </rPr>
      <t>Top</t>
    </r>
    <r>
      <rPr>
        <sz val="9"/>
        <color theme="1"/>
        <rFont val="Arial"/>
        <family val="2"/>
      </rPr>
      <t xml:space="preserve"> - 1/2 d</t>
    </r>
    <r>
      <rPr>
        <vertAlign val="subscript"/>
        <sz val="9"/>
        <rFont val="Arial"/>
        <family val="2"/>
      </rPr>
      <t>b</t>
    </r>
    <r>
      <rPr>
        <sz val="9"/>
        <color theme="1"/>
        <rFont val="Arial"/>
        <family val="2"/>
      </rPr>
      <t xml:space="preserve"> = </t>
    </r>
  </si>
  <si>
    <r>
      <t xml:space="preserve">Unless otherwise specified, the amount of prestressed and non-prestressed tensile reinforcement shall be adequate to develop a factored flexural resistance, Mr = </t>
    </r>
    <r>
      <rPr>
        <sz val="9"/>
        <rFont val="Arial"/>
        <family val="2"/>
      </rPr>
      <t>φ</t>
    </r>
    <r>
      <rPr>
        <sz val="9"/>
        <color theme="1"/>
        <rFont val="Arial"/>
        <family val="2"/>
      </rPr>
      <t>Mn, at least equal to the lesser of:</t>
    </r>
  </si>
  <si>
    <r>
      <rPr>
        <sz val="9"/>
        <rFont val="Arial"/>
        <family val="2"/>
      </rPr>
      <t>•</t>
    </r>
    <r>
      <rPr>
        <sz val="9"/>
        <color theme="1"/>
        <rFont val="Arial"/>
        <family val="2"/>
      </rPr>
      <t xml:space="preserve"> 1.33 times the positive factored ultimate moment</t>
    </r>
  </si>
  <si>
    <r>
      <rPr>
        <sz val="9"/>
        <rFont val="Arial"/>
        <family val="2"/>
      </rPr>
      <t>•</t>
    </r>
    <r>
      <rPr>
        <sz val="9"/>
        <color theme="1"/>
        <rFont val="Arial"/>
        <family val="2"/>
      </rPr>
      <t xml:space="preserve"> Cracking moment</t>
    </r>
  </si>
  <si>
    <r>
      <rPr>
        <sz val="9"/>
        <rFont val="Arial"/>
        <family val="2"/>
      </rPr>
      <t>γ</t>
    </r>
    <r>
      <rPr>
        <vertAlign val="subscript"/>
        <sz val="9"/>
        <rFont val="Arial"/>
        <family val="2"/>
      </rPr>
      <t>1</t>
    </r>
    <r>
      <rPr>
        <sz val="9"/>
        <color theme="1"/>
        <rFont val="Arial"/>
        <family val="2"/>
      </rPr>
      <t xml:space="preserve"> =</t>
    </r>
  </si>
  <si>
    <r>
      <rPr>
        <sz val="9"/>
        <rFont val="Arial"/>
        <family val="2"/>
      </rPr>
      <t>γ</t>
    </r>
    <r>
      <rPr>
        <vertAlign val="subscript"/>
        <sz val="9"/>
        <rFont val="Arial"/>
        <family val="2"/>
      </rPr>
      <t>3</t>
    </r>
    <r>
      <rPr>
        <sz val="9"/>
        <color theme="1"/>
        <rFont val="Arial"/>
        <family val="2"/>
      </rPr>
      <t xml:space="preserve"> =</t>
    </r>
  </si>
  <si>
    <r>
      <t>in.</t>
    </r>
    <r>
      <rPr>
        <vertAlign val="superscript"/>
        <sz val="9"/>
        <color theme="1"/>
        <rFont val="Arial"/>
        <family val="2"/>
      </rPr>
      <t>3</t>
    </r>
  </si>
  <si>
    <r>
      <t>1.33 (+M</t>
    </r>
    <r>
      <rPr>
        <vertAlign val="subscript"/>
        <sz val="9"/>
        <rFont val="Arial"/>
        <family val="2"/>
      </rPr>
      <t>u</t>
    </r>
    <r>
      <rPr>
        <sz val="9"/>
        <color theme="1"/>
        <rFont val="Arial"/>
        <family val="2"/>
      </rPr>
      <t>) =</t>
    </r>
  </si>
  <si>
    <r>
      <t>M</t>
    </r>
    <r>
      <rPr>
        <vertAlign val="subscript"/>
        <sz val="9"/>
        <rFont val="Arial"/>
        <family val="2"/>
      </rPr>
      <t>cr</t>
    </r>
    <r>
      <rPr>
        <sz val="9"/>
        <color theme="1"/>
        <rFont val="Arial"/>
        <family val="2"/>
      </rPr>
      <t xml:space="preserve"> =</t>
    </r>
  </si>
  <si>
    <r>
      <t>1.33 (-M</t>
    </r>
    <r>
      <rPr>
        <vertAlign val="subscript"/>
        <sz val="9"/>
        <rFont val="Arial"/>
        <family val="2"/>
      </rPr>
      <t>u</t>
    </r>
    <r>
      <rPr>
        <sz val="9"/>
        <color theme="1"/>
        <rFont val="Arial"/>
        <family val="2"/>
      </rPr>
      <t>) =</t>
    </r>
  </si>
  <si>
    <r>
      <rPr>
        <sz val="9"/>
        <rFont val="Arial"/>
        <family val="2"/>
      </rPr>
      <t>γ</t>
    </r>
    <r>
      <rPr>
        <vertAlign val="subscript"/>
        <sz val="9"/>
        <rFont val="Arial"/>
        <family val="2"/>
      </rPr>
      <t>e</t>
    </r>
    <r>
      <rPr>
        <sz val="9"/>
        <color theme="1"/>
        <rFont val="Arial"/>
        <family val="2"/>
      </rPr>
      <t xml:space="preserve"> =</t>
    </r>
  </si>
  <si>
    <r>
      <rPr>
        <sz val="9"/>
        <rFont val="Arial"/>
        <family val="2"/>
      </rPr>
      <t>b</t>
    </r>
    <r>
      <rPr>
        <vertAlign val="subscript"/>
        <sz val="9"/>
        <rFont val="Arial"/>
        <family val="2"/>
      </rPr>
      <t>s</t>
    </r>
    <r>
      <rPr>
        <sz val="9"/>
        <color theme="1"/>
        <rFont val="Arial"/>
        <family val="2"/>
      </rPr>
      <t xml:space="preserve"> -</t>
    </r>
  </si>
  <si>
    <r>
      <t>f</t>
    </r>
    <r>
      <rPr>
        <vertAlign val="subscript"/>
        <sz val="9"/>
        <rFont val="Arial"/>
        <family val="2"/>
      </rPr>
      <t>ss</t>
    </r>
    <r>
      <rPr>
        <sz val="9"/>
        <color theme="1"/>
        <rFont val="Arial"/>
        <family val="2"/>
      </rPr>
      <t xml:space="preserve"> -</t>
    </r>
  </si>
  <si>
    <r>
      <t>calculated tensile stress in mild steel reinforcement at the service limit state 
(</t>
    </r>
    <r>
      <rPr>
        <sz val="9"/>
        <rFont val="Arial"/>
        <family val="2"/>
      </rPr>
      <t xml:space="preserve">≤ </t>
    </r>
    <r>
      <rPr>
        <sz val="9"/>
        <color theme="1"/>
        <rFont val="Arial"/>
        <family val="2"/>
      </rPr>
      <t>0.60 f</t>
    </r>
    <r>
      <rPr>
        <vertAlign val="subscript"/>
        <sz val="9"/>
        <rFont val="Arial"/>
        <family val="2"/>
      </rPr>
      <t>y</t>
    </r>
    <r>
      <rPr>
        <sz val="9"/>
        <color theme="1"/>
        <rFont val="Arial"/>
        <family val="2"/>
      </rPr>
      <t xml:space="preserve"> ksi)</t>
    </r>
  </si>
  <si>
    <r>
      <t>d</t>
    </r>
    <r>
      <rPr>
        <vertAlign val="subscript"/>
        <sz val="9"/>
        <rFont val="Arial"/>
        <family val="2"/>
      </rPr>
      <t>c</t>
    </r>
    <r>
      <rPr>
        <sz val="9"/>
        <color theme="1"/>
        <rFont val="Arial"/>
        <family val="2"/>
      </rPr>
      <t xml:space="preserve"> -</t>
    </r>
  </si>
  <si>
    <r>
      <t>thickness of concrete cover measured from extreme tension fiber to center of the flexural reinforcement located closest thereto. For calculation purposes, d</t>
    </r>
    <r>
      <rPr>
        <vertAlign val="subscript"/>
        <sz val="9"/>
        <rFont val="Arial"/>
        <family val="2"/>
      </rPr>
      <t>c</t>
    </r>
    <r>
      <rPr>
        <sz val="9"/>
        <color theme="1"/>
        <rFont val="Arial"/>
        <family val="2"/>
      </rPr>
      <t xml:space="preserve"> need not be taken greater than 2 in. plus the bar radius</t>
    </r>
  </si>
  <si>
    <r>
      <t>d</t>
    </r>
    <r>
      <rPr>
        <vertAlign val="subscript"/>
        <sz val="9"/>
        <rFont val="Arial"/>
        <family val="2"/>
      </rPr>
      <t>c</t>
    </r>
    <r>
      <rPr>
        <sz val="9"/>
        <color theme="1"/>
        <rFont val="Arial"/>
        <family val="2"/>
      </rPr>
      <t xml:space="preserve"> = c</t>
    </r>
    <r>
      <rPr>
        <vertAlign val="subscript"/>
        <sz val="9"/>
        <rFont val="Arial"/>
        <family val="2"/>
      </rPr>
      <t>Bot</t>
    </r>
    <r>
      <rPr>
        <sz val="9"/>
        <color theme="1"/>
        <rFont val="Arial"/>
        <family val="2"/>
      </rPr>
      <t xml:space="preserve"> + 1/2 d</t>
    </r>
    <r>
      <rPr>
        <vertAlign val="subscript"/>
        <sz val="9"/>
        <rFont val="Arial"/>
        <family val="2"/>
      </rPr>
      <t>b</t>
    </r>
    <r>
      <rPr>
        <sz val="9"/>
        <color theme="1"/>
        <rFont val="Arial"/>
        <family val="2"/>
      </rPr>
      <t xml:space="preserve"> = </t>
    </r>
  </si>
  <si>
    <r>
      <t>d</t>
    </r>
    <r>
      <rPr>
        <vertAlign val="subscript"/>
        <sz val="9"/>
        <rFont val="Arial"/>
        <family val="2"/>
      </rPr>
      <t>c</t>
    </r>
    <r>
      <rPr>
        <sz val="9"/>
        <color theme="1"/>
        <rFont val="Arial"/>
        <family val="2"/>
      </rPr>
      <t xml:space="preserve"> = c</t>
    </r>
    <r>
      <rPr>
        <vertAlign val="subscript"/>
        <sz val="9"/>
        <rFont val="Arial"/>
        <family val="2"/>
      </rPr>
      <t>Top</t>
    </r>
    <r>
      <rPr>
        <sz val="9"/>
        <color theme="1"/>
        <rFont val="Arial"/>
        <family val="2"/>
      </rPr>
      <t xml:space="preserve"> + 1/2 d</t>
    </r>
    <r>
      <rPr>
        <vertAlign val="subscript"/>
        <sz val="9"/>
        <rFont val="Arial"/>
        <family val="2"/>
      </rPr>
      <t>b</t>
    </r>
    <r>
      <rPr>
        <sz val="9"/>
        <color theme="1"/>
        <rFont val="Arial"/>
        <family val="2"/>
      </rPr>
      <t xml:space="preserve"> = </t>
    </r>
  </si>
  <si>
    <r>
      <t>n = E</t>
    </r>
    <r>
      <rPr>
        <vertAlign val="subscript"/>
        <sz val="9"/>
        <rFont val="Arial"/>
        <family val="2"/>
      </rPr>
      <t>S</t>
    </r>
    <r>
      <rPr>
        <sz val="9"/>
        <color theme="1"/>
        <rFont val="Arial"/>
        <family val="2"/>
      </rPr>
      <t xml:space="preserve"> / E</t>
    </r>
    <r>
      <rPr>
        <vertAlign val="subscript"/>
        <sz val="9"/>
        <rFont val="Arial"/>
        <family val="2"/>
      </rPr>
      <t>C</t>
    </r>
    <r>
      <rPr>
        <sz val="9"/>
        <color theme="1"/>
        <rFont val="Arial"/>
        <family val="2"/>
      </rPr>
      <t xml:space="preserve"> =</t>
    </r>
  </si>
  <si>
    <r>
      <t>A</t>
    </r>
    <r>
      <rPr>
        <vertAlign val="subscript"/>
        <sz val="9"/>
        <rFont val="Arial"/>
        <family val="2"/>
      </rPr>
      <t>s,min</t>
    </r>
    <r>
      <rPr>
        <sz val="9"/>
        <color theme="1"/>
        <rFont val="Arial"/>
        <family val="2"/>
      </rPr>
      <t xml:space="preserve"> </t>
    </r>
    <r>
      <rPr>
        <sz val="9"/>
        <rFont val="Arial"/>
        <family val="2"/>
      </rPr>
      <t>=</t>
    </r>
  </si>
  <si>
    <r>
      <t>in.</t>
    </r>
    <r>
      <rPr>
        <vertAlign val="superscript"/>
        <sz val="9"/>
        <color theme="1"/>
        <rFont val="Arial"/>
        <family val="2"/>
      </rPr>
      <t>2</t>
    </r>
    <r>
      <rPr>
        <sz val="9"/>
        <color theme="1"/>
        <rFont val="Arial"/>
        <family val="2"/>
      </rPr>
      <t>/ft.</t>
    </r>
  </si>
  <si>
    <r>
      <t>A</t>
    </r>
    <r>
      <rPr>
        <vertAlign val="subscript"/>
        <sz val="9"/>
        <rFont val="Arial"/>
        <family val="2"/>
      </rPr>
      <t>S</t>
    </r>
    <r>
      <rPr>
        <sz val="9"/>
        <color theme="1"/>
        <rFont val="Arial"/>
        <family val="2"/>
      </rPr>
      <t xml:space="preserve"> =</t>
    </r>
  </si>
  <si>
    <r>
      <t>in</t>
    </r>
    <r>
      <rPr>
        <vertAlign val="superscript"/>
        <sz val="9"/>
        <color theme="1"/>
        <rFont val="Arial"/>
        <family val="2"/>
      </rPr>
      <t>2</t>
    </r>
  </si>
  <si>
    <r>
      <t>A</t>
    </r>
    <r>
      <rPr>
        <vertAlign val="subscript"/>
        <sz val="9"/>
        <color theme="1"/>
        <rFont val="Arial"/>
        <family val="2"/>
      </rPr>
      <t>S_Req</t>
    </r>
    <r>
      <rPr>
        <sz val="9"/>
        <color theme="1"/>
        <rFont val="Arial"/>
        <family val="2"/>
      </rPr>
      <t xml:space="preserve"> =</t>
    </r>
  </si>
  <si>
    <r>
      <t>A</t>
    </r>
    <r>
      <rPr>
        <vertAlign val="subscript"/>
        <sz val="9"/>
        <color theme="1"/>
        <rFont val="Arial"/>
        <family val="2"/>
      </rPr>
      <t>S</t>
    </r>
    <r>
      <rPr>
        <sz val="9"/>
        <color theme="1"/>
        <rFont val="Arial"/>
        <family val="2"/>
      </rPr>
      <t xml:space="preserve"> =</t>
    </r>
  </si>
  <si>
    <t>EXAMPLE 6 - DECK DESIGN INCLUDING TYPE 10 MASH RAIL COLLISION</t>
  </si>
  <si>
    <t>Check Positive Moment reinforcement</t>
  </si>
  <si>
    <t>Check Negative Moment reinforcement</t>
  </si>
  <si>
    <t>Check Cracking at the Bottom of Deck (spacing of Positive Moment reinforcement):</t>
  </si>
  <si>
    <t>Check Cracking at Top of Deck (spacing of Negative Moment reinforcement):</t>
  </si>
  <si>
    <t>Deck thickness</t>
  </si>
  <si>
    <t>d =</t>
  </si>
  <si>
    <r>
      <t>H</t>
    </r>
    <r>
      <rPr>
        <vertAlign val="subscript"/>
        <sz val="9"/>
        <rFont val="Arial"/>
        <family val="2"/>
      </rPr>
      <t>B</t>
    </r>
    <r>
      <rPr>
        <sz val="9"/>
        <color theme="1"/>
        <rFont val="Arial"/>
        <family val="2"/>
      </rPr>
      <t xml:space="preserve"> =</t>
    </r>
  </si>
  <si>
    <r>
      <rPr>
        <sz val="9"/>
        <rFont val="Arial"/>
        <family val="2"/>
      </rPr>
      <t>φ</t>
    </r>
    <r>
      <rPr>
        <vertAlign val="subscript"/>
        <sz val="9"/>
        <rFont val="Arial"/>
        <family val="2"/>
      </rPr>
      <t>S</t>
    </r>
    <r>
      <rPr>
        <sz val="9"/>
        <color theme="1"/>
        <rFont val="Arial"/>
        <family val="2"/>
      </rPr>
      <t xml:space="preserve"> =</t>
    </r>
  </si>
  <si>
    <r>
      <rPr>
        <sz val="9"/>
        <rFont val="Arial"/>
        <family val="2"/>
      </rPr>
      <t>φ</t>
    </r>
    <r>
      <rPr>
        <vertAlign val="subscript"/>
        <sz val="9"/>
        <rFont val="Arial"/>
        <family val="2"/>
      </rPr>
      <t>T</t>
    </r>
    <r>
      <rPr>
        <sz val="9"/>
        <color theme="1"/>
        <rFont val="Arial"/>
        <family val="2"/>
      </rPr>
      <t xml:space="preserve"> =</t>
    </r>
  </si>
  <si>
    <r>
      <t>F</t>
    </r>
    <r>
      <rPr>
        <vertAlign val="subscript"/>
        <sz val="9"/>
        <rFont val="Arial"/>
        <family val="2"/>
      </rPr>
      <t>t</t>
    </r>
    <r>
      <rPr>
        <sz val="9"/>
        <color theme="1"/>
        <rFont val="Arial"/>
        <family val="2"/>
      </rPr>
      <t xml:space="preserve"> =</t>
    </r>
  </si>
  <si>
    <r>
      <t>L</t>
    </r>
    <r>
      <rPr>
        <vertAlign val="subscript"/>
        <sz val="9"/>
        <rFont val="Arial"/>
        <family val="2"/>
      </rPr>
      <t>t</t>
    </r>
    <r>
      <rPr>
        <sz val="9"/>
        <color theme="1"/>
        <rFont val="Arial"/>
        <family val="2"/>
      </rPr>
      <t xml:space="preserve"> =</t>
    </r>
  </si>
  <si>
    <r>
      <t>H</t>
    </r>
    <r>
      <rPr>
        <vertAlign val="subscript"/>
        <sz val="9"/>
        <rFont val="Arial"/>
        <family val="2"/>
      </rPr>
      <t>W</t>
    </r>
    <r>
      <rPr>
        <sz val="9"/>
        <color theme="1"/>
        <rFont val="Arial"/>
        <family val="2"/>
      </rPr>
      <t xml:space="preserve"> =</t>
    </r>
  </si>
  <si>
    <r>
      <t>H</t>
    </r>
    <r>
      <rPr>
        <vertAlign val="subscript"/>
        <sz val="9"/>
        <rFont val="Arial"/>
        <family val="2"/>
      </rPr>
      <t>R</t>
    </r>
    <r>
      <rPr>
        <sz val="9"/>
        <color theme="1"/>
        <rFont val="Arial"/>
        <family val="2"/>
      </rPr>
      <t xml:space="preserve"> =</t>
    </r>
  </si>
  <si>
    <r>
      <t>A</t>
    </r>
    <r>
      <rPr>
        <vertAlign val="subscript"/>
        <sz val="9"/>
        <rFont val="Arial"/>
        <family val="2"/>
      </rPr>
      <t>Post</t>
    </r>
    <r>
      <rPr>
        <sz val="9"/>
        <color theme="1"/>
        <rFont val="Arial"/>
        <family val="2"/>
      </rPr>
      <t xml:space="preserve"> =</t>
    </r>
  </si>
  <si>
    <r>
      <t>t</t>
    </r>
    <r>
      <rPr>
        <vertAlign val="subscript"/>
        <sz val="9"/>
        <rFont val="Arial"/>
        <family val="2"/>
      </rPr>
      <t>W</t>
    </r>
    <r>
      <rPr>
        <sz val="9"/>
        <color theme="1"/>
        <rFont val="Arial"/>
        <family val="2"/>
      </rPr>
      <t xml:space="preserve"> =</t>
    </r>
  </si>
  <si>
    <r>
      <t>t</t>
    </r>
    <r>
      <rPr>
        <vertAlign val="subscript"/>
        <sz val="9"/>
        <rFont val="Arial"/>
        <family val="2"/>
      </rPr>
      <t>F</t>
    </r>
    <r>
      <rPr>
        <sz val="9"/>
        <color theme="1"/>
        <rFont val="Arial"/>
        <family val="2"/>
      </rPr>
      <t xml:space="preserve"> =</t>
    </r>
  </si>
  <si>
    <r>
      <t>b</t>
    </r>
    <r>
      <rPr>
        <vertAlign val="subscript"/>
        <sz val="9"/>
        <color theme="1"/>
        <rFont val="Arial"/>
        <family val="2"/>
      </rPr>
      <t>f</t>
    </r>
    <r>
      <rPr>
        <sz val="9"/>
        <color theme="1"/>
        <rFont val="Arial"/>
        <family val="2"/>
      </rPr>
      <t>=</t>
    </r>
  </si>
  <si>
    <r>
      <t>d</t>
    </r>
    <r>
      <rPr>
        <vertAlign val="subscript"/>
        <sz val="9"/>
        <color theme="1"/>
        <rFont val="Arial"/>
        <family val="2"/>
      </rPr>
      <t>b</t>
    </r>
    <r>
      <rPr>
        <sz val="9"/>
        <color theme="1"/>
        <rFont val="Arial"/>
        <family val="2"/>
      </rPr>
      <t>=</t>
    </r>
  </si>
  <si>
    <r>
      <t>M</t>
    </r>
    <r>
      <rPr>
        <vertAlign val="subscript"/>
        <sz val="9"/>
        <color theme="1"/>
        <rFont val="Arial"/>
        <family val="2"/>
      </rPr>
      <t>n</t>
    </r>
    <r>
      <rPr>
        <sz val="9"/>
        <color theme="1"/>
        <rFont val="Arial"/>
        <family val="2"/>
      </rPr>
      <t>=M</t>
    </r>
    <r>
      <rPr>
        <vertAlign val="subscript"/>
        <sz val="9"/>
        <color theme="1"/>
        <rFont val="Arial"/>
        <family val="2"/>
      </rPr>
      <t>p</t>
    </r>
    <r>
      <rPr>
        <sz val="9"/>
        <color theme="1"/>
        <rFont val="Arial"/>
        <family val="2"/>
      </rPr>
      <t>=F</t>
    </r>
    <r>
      <rPr>
        <vertAlign val="subscript"/>
        <sz val="9"/>
        <color theme="1"/>
        <rFont val="Arial"/>
        <family val="2"/>
      </rPr>
      <t>y</t>
    </r>
    <r>
      <rPr>
        <sz val="9"/>
        <color theme="1"/>
        <rFont val="Arial"/>
        <family val="2"/>
      </rPr>
      <t>Z (F7-1 AISC Manual)</t>
    </r>
  </si>
  <si>
    <r>
      <t>M</t>
    </r>
    <r>
      <rPr>
        <vertAlign val="subscript"/>
        <sz val="9"/>
        <color theme="1"/>
        <rFont val="Arial"/>
        <family val="2"/>
      </rPr>
      <t>post</t>
    </r>
    <r>
      <rPr>
        <sz val="9"/>
        <color theme="1"/>
        <rFont val="Arial"/>
        <family val="2"/>
      </rPr>
      <t>=</t>
    </r>
  </si>
  <si>
    <r>
      <t>A</t>
    </r>
    <r>
      <rPr>
        <vertAlign val="subscript"/>
        <sz val="9"/>
        <rFont val="Arial"/>
        <family val="2"/>
      </rPr>
      <t>Tube</t>
    </r>
    <r>
      <rPr>
        <sz val="9"/>
        <color theme="1"/>
        <rFont val="Arial"/>
        <family val="2"/>
      </rPr>
      <t xml:space="preserve"> =</t>
    </r>
  </si>
  <si>
    <r>
      <t>M</t>
    </r>
    <r>
      <rPr>
        <vertAlign val="subscript"/>
        <sz val="9"/>
        <color theme="1"/>
        <rFont val="Arial"/>
        <family val="2"/>
      </rPr>
      <t>p</t>
    </r>
    <r>
      <rPr>
        <sz val="9"/>
        <color theme="1"/>
        <rFont val="Arial"/>
        <family val="2"/>
      </rPr>
      <t>=</t>
    </r>
  </si>
  <si>
    <r>
      <t>W</t>
    </r>
    <r>
      <rPr>
        <vertAlign val="subscript"/>
        <sz val="9"/>
        <rFont val="Arial"/>
        <family val="2"/>
      </rPr>
      <t>b</t>
    </r>
    <r>
      <rPr>
        <sz val="9"/>
        <color theme="1"/>
        <rFont val="Arial"/>
        <family val="2"/>
      </rPr>
      <t xml:space="preserve"> = </t>
    </r>
  </si>
  <si>
    <r>
      <t>t</t>
    </r>
    <r>
      <rPr>
        <vertAlign val="subscript"/>
        <sz val="9"/>
        <color theme="1"/>
        <rFont val="Arial"/>
        <family val="2"/>
      </rPr>
      <t>b</t>
    </r>
    <r>
      <rPr>
        <sz val="9"/>
        <color theme="1"/>
        <rFont val="Arial"/>
        <family val="2"/>
      </rPr>
      <t xml:space="preserve"> =</t>
    </r>
  </si>
  <si>
    <r>
      <t>d</t>
    </r>
    <r>
      <rPr>
        <vertAlign val="subscript"/>
        <sz val="9"/>
        <rFont val="Arial"/>
        <family val="2"/>
      </rPr>
      <t>bo</t>
    </r>
    <r>
      <rPr>
        <sz val="9"/>
        <color theme="1"/>
        <rFont val="Arial"/>
        <family val="2"/>
      </rPr>
      <t xml:space="preserve"> =</t>
    </r>
  </si>
  <si>
    <r>
      <t>F</t>
    </r>
    <r>
      <rPr>
        <vertAlign val="subscript"/>
        <sz val="9"/>
        <rFont val="Arial"/>
        <family val="2"/>
      </rPr>
      <t>ub</t>
    </r>
    <r>
      <rPr>
        <sz val="9"/>
        <color theme="1"/>
        <rFont val="Arial"/>
        <family val="2"/>
      </rPr>
      <t xml:space="preserve"> =</t>
    </r>
  </si>
  <si>
    <r>
      <t>n</t>
    </r>
    <r>
      <rPr>
        <vertAlign val="subscript"/>
        <sz val="9"/>
        <rFont val="Arial"/>
        <family val="2"/>
      </rPr>
      <t>b</t>
    </r>
    <r>
      <rPr>
        <sz val="9"/>
        <color theme="1"/>
        <rFont val="Arial"/>
        <family val="2"/>
      </rPr>
      <t xml:space="preserve"> =</t>
    </r>
  </si>
  <si>
    <r>
      <t>A</t>
    </r>
    <r>
      <rPr>
        <vertAlign val="subscript"/>
        <sz val="9"/>
        <rFont val="Arial"/>
        <family val="2"/>
      </rPr>
      <t>S</t>
    </r>
    <r>
      <rPr>
        <sz val="9"/>
        <color theme="1"/>
        <rFont val="Arial"/>
        <family val="2"/>
      </rPr>
      <t xml:space="preserve"> = Bar Area * NO. of bars =</t>
    </r>
  </si>
  <si>
    <r>
      <t>d</t>
    </r>
    <r>
      <rPr>
        <vertAlign val="subscript"/>
        <sz val="9"/>
        <rFont val="Arial"/>
        <family val="2"/>
      </rPr>
      <t>S</t>
    </r>
    <r>
      <rPr>
        <sz val="9"/>
        <color theme="1"/>
        <rFont val="Arial"/>
        <family val="2"/>
      </rPr>
      <t xml:space="preserve"> = d - c - Stirrup Dia. - 1/2 Bar Dia. =</t>
    </r>
  </si>
  <si>
    <r>
      <t>A</t>
    </r>
    <r>
      <rPr>
        <vertAlign val="subscript"/>
        <sz val="9"/>
        <rFont val="Arial"/>
        <family val="2"/>
      </rPr>
      <t>S</t>
    </r>
    <r>
      <rPr>
        <sz val="9"/>
        <color theme="1"/>
        <rFont val="Arial"/>
        <family val="2"/>
      </rPr>
      <t xml:space="preserve"> = Bar Area * b / Stirrup spacing =</t>
    </r>
  </si>
  <si>
    <r>
      <t>d</t>
    </r>
    <r>
      <rPr>
        <vertAlign val="subscript"/>
        <sz val="9"/>
        <rFont val="Arial"/>
        <family val="2"/>
      </rPr>
      <t>S</t>
    </r>
    <r>
      <rPr>
        <sz val="9"/>
        <color theme="1"/>
        <rFont val="Arial"/>
        <family val="2"/>
      </rPr>
      <t xml:space="preserve"> = d - c - 1/2 Stirrup Dia. =</t>
    </r>
  </si>
  <si>
    <r>
      <t>There is no additional resistance at the top of the parapet in addition to M</t>
    </r>
    <r>
      <rPr>
        <vertAlign val="subscript"/>
        <sz val="9"/>
        <rFont val="Arial"/>
        <family val="2"/>
      </rPr>
      <t>W</t>
    </r>
    <r>
      <rPr>
        <sz val="9"/>
        <color theme="1"/>
        <rFont val="Arial"/>
        <family val="2"/>
      </rPr>
      <t xml:space="preserve"> ,     M</t>
    </r>
    <r>
      <rPr>
        <vertAlign val="subscript"/>
        <sz val="9"/>
        <rFont val="Arial"/>
        <family val="2"/>
      </rPr>
      <t>b</t>
    </r>
    <r>
      <rPr>
        <sz val="9"/>
        <color theme="1"/>
        <rFont val="Arial"/>
        <family val="2"/>
      </rPr>
      <t xml:space="preserve"> = 0 kip-ft.</t>
    </r>
  </si>
  <si>
    <r>
      <t>H</t>
    </r>
    <r>
      <rPr>
        <vertAlign val="subscript"/>
        <sz val="9"/>
        <color theme="1"/>
        <rFont val="Arial"/>
        <family val="2"/>
      </rPr>
      <t xml:space="preserve">R </t>
    </r>
    <r>
      <rPr>
        <sz val="9"/>
        <color theme="1"/>
        <rFont val="Arial"/>
        <family val="2"/>
      </rPr>
      <t>- H</t>
    </r>
    <r>
      <rPr>
        <vertAlign val="subscript"/>
        <sz val="9"/>
        <color theme="1"/>
        <rFont val="Arial"/>
        <family val="2"/>
      </rPr>
      <t>W</t>
    </r>
  </si>
  <si>
    <r>
      <t>M</t>
    </r>
    <r>
      <rPr>
        <vertAlign val="subscript"/>
        <sz val="9"/>
        <color theme="1"/>
        <rFont val="Arial"/>
        <family val="2"/>
      </rPr>
      <t>post</t>
    </r>
    <r>
      <rPr>
        <sz val="9"/>
        <color theme="1"/>
        <rFont val="Arial"/>
        <family val="2"/>
      </rPr>
      <t xml:space="preserve"> / (H</t>
    </r>
    <r>
      <rPr>
        <vertAlign val="subscript"/>
        <sz val="9"/>
        <color theme="1"/>
        <rFont val="Arial"/>
        <family val="2"/>
      </rPr>
      <t xml:space="preserve">R </t>
    </r>
    <r>
      <rPr>
        <sz val="9"/>
        <color theme="1"/>
        <rFont val="Arial"/>
        <family val="2"/>
      </rPr>
      <t>- H</t>
    </r>
    <r>
      <rPr>
        <vertAlign val="subscript"/>
        <sz val="9"/>
        <color theme="1"/>
        <rFont val="Arial"/>
        <family val="2"/>
      </rPr>
      <t>W</t>
    </r>
    <r>
      <rPr>
        <sz val="9"/>
        <color theme="1"/>
        <rFont val="Arial"/>
        <family val="2"/>
      </rPr>
      <t>)</t>
    </r>
  </si>
  <si>
    <r>
      <t>P</t>
    </r>
    <r>
      <rPr>
        <vertAlign val="subscript"/>
        <sz val="9"/>
        <color theme="1"/>
        <rFont val="Arial"/>
        <family val="2"/>
      </rPr>
      <t>p1</t>
    </r>
    <r>
      <rPr>
        <sz val="9"/>
        <color theme="1"/>
        <rFont val="Arial"/>
        <family val="2"/>
      </rPr>
      <t>=</t>
    </r>
  </si>
  <si>
    <r>
      <t xml:space="preserve"> S</t>
    </r>
    <r>
      <rPr>
        <vertAlign val="subscript"/>
        <sz val="9"/>
        <color theme="1"/>
        <rFont val="Arial"/>
        <family val="2"/>
      </rPr>
      <t xml:space="preserve">W </t>
    </r>
    <r>
      <rPr>
        <sz val="9"/>
        <color theme="1"/>
        <rFont val="Arial"/>
        <family val="2"/>
      </rPr>
      <t>=</t>
    </r>
  </si>
  <si>
    <r>
      <t>F</t>
    </r>
    <r>
      <rPr>
        <vertAlign val="subscript"/>
        <sz val="9"/>
        <color theme="1"/>
        <rFont val="Arial"/>
        <family val="2"/>
      </rPr>
      <t xml:space="preserve">EXX </t>
    </r>
    <r>
      <rPr>
        <sz val="9"/>
        <color theme="1"/>
        <rFont val="Arial"/>
        <family val="2"/>
      </rPr>
      <t>=</t>
    </r>
  </si>
  <si>
    <r>
      <t>M</t>
    </r>
    <r>
      <rPr>
        <vertAlign val="subscript"/>
        <sz val="9"/>
        <color theme="1"/>
        <rFont val="Arial"/>
        <family val="2"/>
      </rPr>
      <t xml:space="preserve">weld </t>
    </r>
    <r>
      <rPr>
        <sz val="9"/>
        <color theme="1"/>
        <rFont val="Arial"/>
        <family val="2"/>
      </rPr>
      <t>=</t>
    </r>
  </si>
  <si>
    <r>
      <t>(0.6 * F</t>
    </r>
    <r>
      <rPr>
        <vertAlign val="subscript"/>
        <sz val="9"/>
        <color theme="1"/>
        <rFont val="Arial"/>
        <family val="2"/>
      </rPr>
      <t>EXX</t>
    </r>
    <r>
      <rPr>
        <sz val="9"/>
        <color theme="1"/>
        <rFont val="Arial"/>
        <family val="2"/>
      </rPr>
      <t xml:space="preserve"> * S</t>
    </r>
    <r>
      <rPr>
        <vertAlign val="subscript"/>
        <sz val="9"/>
        <color theme="1"/>
        <rFont val="Arial"/>
        <family val="2"/>
      </rPr>
      <t>W</t>
    </r>
    <r>
      <rPr>
        <sz val="9"/>
        <color theme="1"/>
        <rFont val="Arial"/>
        <family val="2"/>
      </rPr>
      <t>)</t>
    </r>
  </si>
  <si>
    <r>
      <t>P</t>
    </r>
    <r>
      <rPr>
        <vertAlign val="subscript"/>
        <sz val="9"/>
        <color theme="1"/>
        <rFont val="Arial"/>
        <family val="2"/>
      </rPr>
      <t>p2</t>
    </r>
    <r>
      <rPr>
        <sz val="9"/>
        <color theme="1"/>
        <rFont val="Arial"/>
        <family val="2"/>
      </rPr>
      <t>=</t>
    </r>
  </si>
  <si>
    <r>
      <t>R</t>
    </r>
    <r>
      <rPr>
        <vertAlign val="subscript"/>
        <sz val="9"/>
        <color theme="1"/>
        <rFont val="Arial"/>
        <family val="2"/>
      </rPr>
      <t>n</t>
    </r>
  </si>
  <si>
    <r>
      <t>P</t>
    </r>
    <r>
      <rPr>
        <vertAlign val="subscript"/>
        <sz val="9"/>
        <color theme="1"/>
        <rFont val="Arial"/>
        <family val="2"/>
      </rPr>
      <t>p3</t>
    </r>
    <r>
      <rPr>
        <sz val="9"/>
        <color theme="1"/>
        <rFont val="Arial"/>
        <family val="2"/>
      </rPr>
      <t>=</t>
    </r>
  </si>
  <si>
    <r>
      <t>b</t>
    </r>
    <r>
      <rPr>
        <vertAlign val="subscript"/>
        <sz val="9"/>
        <color theme="1"/>
        <rFont val="Arial"/>
        <family val="2"/>
      </rPr>
      <t>spa</t>
    </r>
    <r>
      <rPr>
        <sz val="9"/>
        <color theme="1"/>
        <rFont val="Arial"/>
        <family val="2"/>
      </rPr>
      <t xml:space="preserve"> =</t>
    </r>
  </si>
  <si>
    <r>
      <t>Since the spacing of the anchors is less than 3 times the bolt distance d</t>
    </r>
    <r>
      <rPr>
        <vertAlign val="subscript"/>
        <sz val="9"/>
        <color theme="1"/>
        <rFont val="Arial"/>
        <family val="2"/>
      </rPr>
      <t>b</t>
    </r>
    <r>
      <rPr>
        <sz val="9"/>
        <color theme="1"/>
        <rFont val="Arial"/>
        <family val="2"/>
      </rPr>
      <t>, the bolts must be treated as a group</t>
    </r>
  </si>
  <si>
    <r>
      <t>Area resisting breakout A</t>
    </r>
    <r>
      <rPr>
        <vertAlign val="subscript"/>
        <sz val="9"/>
        <color theme="1"/>
        <rFont val="Arial"/>
        <family val="2"/>
      </rPr>
      <t>VC</t>
    </r>
    <r>
      <rPr>
        <sz val="9"/>
        <color theme="1"/>
        <rFont val="Arial"/>
        <family val="2"/>
      </rPr>
      <t xml:space="preserve"> =</t>
    </r>
  </si>
  <si>
    <r>
      <t>n</t>
    </r>
    <r>
      <rPr>
        <vertAlign val="subscript"/>
        <sz val="9"/>
        <color theme="1"/>
        <rFont val="Arial"/>
        <family val="2"/>
      </rPr>
      <t>b</t>
    </r>
    <r>
      <rPr>
        <sz val="9"/>
        <color theme="1"/>
        <rFont val="Arial"/>
        <family val="2"/>
      </rPr>
      <t xml:space="preserve"> * 4.5 d</t>
    </r>
    <r>
      <rPr>
        <vertAlign val="subscript"/>
        <sz val="9"/>
        <color theme="1"/>
        <rFont val="Arial"/>
        <family val="2"/>
      </rPr>
      <t>bo</t>
    </r>
    <r>
      <rPr>
        <vertAlign val="superscript"/>
        <sz val="9"/>
        <color theme="1"/>
        <rFont val="Arial"/>
        <family val="2"/>
      </rPr>
      <t>2</t>
    </r>
  </si>
  <si>
    <r>
      <t>A</t>
    </r>
    <r>
      <rPr>
        <vertAlign val="subscript"/>
        <sz val="9"/>
        <color theme="1"/>
        <rFont val="Arial"/>
        <family val="2"/>
      </rPr>
      <t>VCO</t>
    </r>
    <r>
      <rPr>
        <sz val="9"/>
        <color theme="1"/>
        <rFont val="Arial"/>
        <family val="2"/>
      </rPr>
      <t xml:space="preserve"> =</t>
    </r>
  </si>
  <si>
    <r>
      <t>Anchor embedment h</t>
    </r>
    <r>
      <rPr>
        <vertAlign val="subscript"/>
        <sz val="9"/>
        <color theme="1"/>
        <rFont val="Arial"/>
        <family val="2"/>
      </rPr>
      <t>ef</t>
    </r>
    <r>
      <rPr>
        <sz val="9"/>
        <color theme="1"/>
        <rFont val="Arial"/>
        <family val="2"/>
      </rPr>
      <t xml:space="preserve"> =</t>
    </r>
  </si>
  <si>
    <r>
      <t>1.5 * d</t>
    </r>
    <r>
      <rPr>
        <vertAlign val="subscript"/>
        <sz val="9"/>
        <color theme="1"/>
        <rFont val="Arial"/>
        <family val="2"/>
      </rPr>
      <t>bo</t>
    </r>
    <r>
      <rPr>
        <sz val="9"/>
        <color theme="1"/>
        <rFont val="Arial"/>
        <family val="2"/>
      </rPr>
      <t xml:space="preserve"> =</t>
    </r>
  </si>
  <si>
    <r>
      <t>Load bearing length in shear l</t>
    </r>
    <r>
      <rPr>
        <vertAlign val="subscript"/>
        <sz val="9"/>
        <color theme="1"/>
        <rFont val="Arial"/>
        <family val="2"/>
      </rPr>
      <t>e</t>
    </r>
    <r>
      <rPr>
        <sz val="9"/>
        <color theme="1"/>
        <rFont val="Arial"/>
        <family val="2"/>
      </rPr>
      <t xml:space="preserve"> =</t>
    </r>
  </si>
  <si>
    <r>
      <t>V</t>
    </r>
    <r>
      <rPr>
        <vertAlign val="subscript"/>
        <sz val="9"/>
        <color theme="1"/>
        <rFont val="Arial"/>
        <family val="2"/>
      </rPr>
      <t>b</t>
    </r>
    <r>
      <rPr>
        <sz val="9"/>
        <color theme="1"/>
        <rFont val="Arial"/>
        <family val="2"/>
      </rPr>
      <t xml:space="preserve"> =</t>
    </r>
  </si>
  <si>
    <r>
      <t>P</t>
    </r>
    <r>
      <rPr>
        <vertAlign val="subscript"/>
        <sz val="9"/>
        <color theme="1"/>
        <rFont val="Arial"/>
        <family val="2"/>
      </rPr>
      <t>p4</t>
    </r>
    <r>
      <rPr>
        <sz val="9"/>
        <color theme="1"/>
        <rFont val="Arial"/>
        <family val="2"/>
      </rPr>
      <t>=</t>
    </r>
  </si>
  <si>
    <r>
      <t>f</t>
    </r>
    <r>
      <rPr>
        <vertAlign val="subscript"/>
        <sz val="9"/>
        <color theme="1"/>
        <rFont val="Arial"/>
        <family val="2"/>
      </rPr>
      <t>uta</t>
    </r>
    <r>
      <rPr>
        <sz val="9"/>
        <color theme="1"/>
        <rFont val="Arial"/>
        <family val="2"/>
      </rPr>
      <t xml:space="preserve"> =</t>
    </r>
  </si>
  <si>
    <r>
      <t>Bolt outside diameter d</t>
    </r>
    <r>
      <rPr>
        <vertAlign val="subscript"/>
        <sz val="9"/>
        <color theme="1"/>
        <rFont val="Arial"/>
        <family val="2"/>
      </rPr>
      <t>a</t>
    </r>
    <r>
      <rPr>
        <sz val="9"/>
        <color theme="1"/>
        <rFont val="Arial"/>
        <family val="2"/>
      </rPr>
      <t xml:space="preserve"> =</t>
    </r>
  </si>
  <si>
    <r>
      <t>Number of threads/in. n</t>
    </r>
    <r>
      <rPr>
        <vertAlign val="subscript"/>
        <sz val="9"/>
        <color theme="1"/>
        <rFont val="Arial"/>
        <family val="2"/>
      </rPr>
      <t>t</t>
    </r>
    <r>
      <rPr>
        <sz val="9"/>
        <color theme="1"/>
        <rFont val="Arial"/>
        <family val="2"/>
      </rPr>
      <t xml:space="preserve"> =</t>
    </r>
  </si>
  <si>
    <r>
      <t>A</t>
    </r>
    <r>
      <rPr>
        <vertAlign val="subscript"/>
        <sz val="9"/>
        <color theme="1"/>
        <rFont val="Arial"/>
        <family val="2"/>
      </rPr>
      <t>se</t>
    </r>
    <r>
      <rPr>
        <sz val="9"/>
        <color theme="1"/>
        <rFont val="Arial"/>
        <family val="2"/>
      </rPr>
      <t xml:space="preserve"> =</t>
    </r>
  </si>
  <si>
    <r>
      <t>N</t>
    </r>
    <r>
      <rPr>
        <vertAlign val="subscript"/>
        <sz val="9"/>
        <color theme="1"/>
        <rFont val="Arial"/>
        <family val="2"/>
      </rPr>
      <t>sa</t>
    </r>
    <r>
      <rPr>
        <sz val="9"/>
        <color theme="1"/>
        <rFont val="Arial"/>
        <family val="2"/>
      </rPr>
      <t xml:space="preserve"> =</t>
    </r>
  </si>
  <si>
    <r>
      <t>N</t>
    </r>
    <r>
      <rPr>
        <vertAlign val="subscript"/>
        <sz val="9"/>
        <color theme="1"/>
        <rFont val="Arial"/>
        <family val="2"/>
      </rPr>
      <t>s</t>
    </r>
    <r>
      <rPr>
        <sz val="9"/>
        <color theme="1"/>
        <rFont val="Arial"/>
        <family val="2"/>
      </rPr>
      <t xml:space="preserve"> =</t>
    </r>
  </si>
  <si>
    <r>
      <t>Equating tension and compression, depth of compression c = N</t>
    </r>
    <r>
      <rPr>
        <vertAlign val="subscript"/>
        <sz val="9"/>
        <color theme="1"/>
        <rFont val="Arial"/>
        <family val="2"/>
      </rPr>
      <t>s</t>
    </r>
    <r>
      <rPr>
        <sz val="9"/>
        <color theme="1"/>
        <rFont val="Arial"/>
        <family val="2"/>
      </rPr>
      <t xml:space="preserve"> / (0.85 * f'c * W</t>
    </r>
    <r>
      <rPr>
        <vertAlign val="subscript"/>
        <sz val="9"/>
        <color theme="1"/>
        <rFont val="Arial"/>
        <family val="2"/>
      </rPr>
      <t>b</t>
    </r>
    <r>
      <rPr>
        <sz val="9"/>
        <color theme="1"/>
        <rFont val="Arial"/>
        <family val="2"/>
      </rPr>
      <t>)</t>
    </r>
  </si>
  <si>
    <r>
      <t>Moment capacity based on bolt tensile capacity M</t>
    </r>
    <r>
      <rPr>
        <vertAlign val="subscript"/>
        <sz val="9"/>
        <color theme="1"/>
        <rFont val="Arial"/>
        <family val="2"/>
      </rPr>
      <t>bolt</t>
    </r>
    <r>
      <rPr>
        <sz val="9"/>
        <color theme="1"/>
        <rFont val="Arial"/>
        <family val="2"/>
      </rPr>
      <t xml:space="preserve"> =</t>
    </r>
  </si>
  <si>
    <r>
      <t>M</t>
    </r>
    <r>
      <rPr>
        <vertAlign val="subscript"/>
        <sz val="9"/>
        <color theme="1"/>
        <rFont val="Arial"/>
        <family val="2"/>
      </rPr>
      <t>bolt</t>
    </r>
    <r>
      <rPr>
        <sz val="9"/>
        <color theme="1"/>
        <rFont val="Arial"/>
        <family val="2"/>
      </rPr>
      <t xml:space="preserve"> / (H</t>
    </r>
    <r>
      <rPr>
        <vertAlign val="subscript"/>
        <sz val="9"/>
        <color theme="1"/>
        <rFont val="Arial"/>
        <family val="2"/>
      </rPr>
      <t xml:space="preserve">R </t>
    </r>
    <r>
      <rPr>
        <sz val="9"/>
        <color theme="1"/>
        <rFont val="Arial"/>
        <family val="2"/>
      </rPr>
      <t>- H</t>
    </r>
    <r>
      <rPr>
        <vertAlign val="subscript"/>
        <sz val="9"/>
        <color theme="1"/>
        <rFont val="Arial"/>
        <family val="2"/>
      </rPr>
      <t>W</t>
    </r>
    <r>
      <rPr>
        <sz val="9"/>
        <color theme="1"/>
        <rFont val="Arial"/>
        <family val="2"/>
      </rPr>
      <t>)</t>
    </r>
  </si>
  <si>
    <r>
      <t>P</t>
    </r>
    <r>
      <rPr>
        <vertAlign val="subscript"/>
        <sz val="9"/>
        <color theme="1"/>
        <rFont val="Arial"/>
        <family val="2"/>
      </rPr>
      <t>p5</t>
    </r>
    <r>
      <rPr>
        <sz val="9"/>
        <color theme="1"/>
        <rFont val="Arial"/>
        <family val="2"/>
      </rPr>
      <t>=</t>
    </r>
  </si>
  <si>
    <r>
      <t>R</t>
    </r>
    <r>
      <rPr>
        <vertAlign val="subscript"/>
        <sz val="9"/>
        <color theme="1"/>
        <rFont val="Arial"/>
        <family val="2"/>
      </rPr>
      <t>R</t>
    </r>
    <r>
      <rPr>
        <sz val="9"/>
        <color theme="1"/>
        <rFont val="Arial"/>
        <family val="2"/>
      </rPr>
      <t>=</t>
    </r>
  </si>
  <si>
    <r>
      <t>Use R</t>
    </r>
    <r>
      <rPr>
        <vertAlign val="subscript"/>
        <sz val="9"/>
        <color theme="1"/>
        <rFont val="Arial"/>
        <family val="2"/>
      </rPr>
      <t>W</t>
    </r>
    <r>
      <rPr>
        <sz val="9"/>
        <color theme="1"/>
        <rFont val="Arial"/>
        <family val="2"/>
      </rPr>
      <t>=</t>
    </r>
  </si>
  <si>
    <r>
      <t>R'</t>
    </r>
    <r>
      <rPr>
        <vertAlign val="subscript"/>
        <sz val="9"/>
        <color theme="1"/>
        <rFont val="Arial"/>
        <family val="2"/>
      </rPr>
      <t>R</t>
    </r>
    <r>
      <rPr>
        <sz val="9"/>
        <color theme="1"/>
        <rFont val="Arial"/>
        <family val="2"/>
      </rPr>
      <t>=</t>
    </r>
  </si>
  <si>
    <r>
      <t>R'</t>
    </r>
    <r>
      <rPr>
        <vertAlign val="subscript"/>
        <sz val="9"/>
        <color theme="1"/>
        <rFont val="Arial"/>
        <family val="2"/>
      </rPr>
      <t>W</t>
    </r>
    <r>
      <rPr>
        <sz val="9"/>
        <color theme="1"/>
        <rFont val="Arial"/>
        <family val="2"/>
      </rPr>
      <t>=</t>
    </r>
  </si>
  <si>
    <r>
      <t>Ignore R'</t>
    </r>
    <r>
      <rPr>
        <vertAlign val="subscript"/>
        <sz val="9"/>
        <color theme="1"/>
        <rFont val="Arial"/>
        <family val="2"/>
      </rPr>
      <t>W</t>
    </r>
    <r>
      <rPr>
        <sz val="9"/>
        <color theme="1"/>
        <rFont val="Arial"/>
        <family val="2"/>
      </rPr>
      <t xml:space="preserve"> and use reduced R'</t>
    </r>
    <r>
      <rPr>
        <vertAlign val="subscript"/>
        <sz val="9"/>
        <color theme="1"/>
        <rFont val="Arial"/>
        <family val="2"/>
      </rPr>
      <t>R</t>
    </r>
    <r>
      <rPr>
        <sz val="9"/>
        <color theme="1"/>
        <rFont val="Arial"/>
        <family val="2"/>
      </rPr>
      <t xml:space="preserve"> =</t>
    </r>
  </si>
  <si>
    <r>
      <t>T</t>
    </r>
    <r>
      <rPr>
        <vertAlign val="subscript"/>
        <sz val="9"/>
        <rFont val="Arial"/>
        <family val="2"/>
      </rPr>
      <t>Axial</t>
    </r>
    <r>
      <rPr>
        <sz val="9"/>
        <color theme="1"/>
        <rFont val="Arial"/>
        <family val="2"/>
      </rPr>
      <t xml:space="preserve"> =</t>
    </r>
  </si>
  <si>
    <r>
      <t>M</t>
    </r>
    <r>
      <rPr>
        <vertAlign val="subscript"/>
        <sz val="9"/>
        <color theme="1"/>
        <rFont val="Arial"/>
        <family val="2"/>
      </rPr>
      <t>ct</t>
    </r>
    <r>
      <rPr>
        <sz val="9"/>
        <color theme="1"/>
        <rFont val="Arial"/>
        <family val="2"/>
      </rPr>
      <t xml:space="preserve"> =</t>
    </r>
  </si>
  <si>
    <r>
      <t>Maximum shear force at base of the post, P</t>
    </r>
    <r>
      <rPr>
        <vertAlign val="subscript"/>
        <sz val="9"/>
        <color theme="1"/>
        <rFont val="Arial"/>
        <family val="2"/>
      </rPr>
      <t>p</t>
    </r>
    <r>
      <rPr>
        <sz val="9"/>
        <color theme="1"/>
        <rFont val="Arial"/>
        <family val="2"/>
      </rPr>
      <t xml:space="preserve"> to cause post failure</t>
    </r>
  </si>
  <si>
    <r>
      <t>t</t>
    </r>
    <r>
      <rPr>
        <vertAlign val="subscript"/>
        <sz val="9"/>
        <color theme="1"/>
        <rFont val="Arial"/>
        <family val="2"/>
      </rPr>
      <t>weld</t>
    </r>
    <r>
      <rPr>
        <sz val="9"/>
        <color theme="1"/>
        <rFont val="Arial"/>
        <family val="2"/>
      </rPr>
      <t>=</t>
    </r>
  </si>
  <si>
    <r>
      <t>t</t>
    </r>
    <r>
      <rPr>
        <vertAlign val="subscript"/>
        <sz val="9"/>
        <color theme="1"/>
        <rFont val="Arial"/>
        <family val="2"/>
      </rPr>
      <t>weff</t>
    </r>
    <r>
      <rPr>
        <sz val="9"/>
        <color theme="1"/>
        <rFont val="Arial"/>
        <family val="2"/>
      </rPr>
      <t>=</t>
    </r>
  </si>
  <si>
    <r>
      <t>in</t>
    </r>
    <r>
      <rPr>
        <vertAlign val="superscript"/>
        <sz val="9"/>
        <color theme="1"/>
        <rFont val="Arial"/>
        <family val="2"/>
      </rPr>
      <t>3</t>
    </r>
  </si>
  <si>
    <r>
      <t>4. Calculate collision tensile force in deck T and collision moment M</t>
    </r>
    <r>
      <rPr>
        <vertAlign val="subscript"/>
        <sz val="9"/>
        <color theme="1"/>
        <rFont val="Arial"/>
        <family val="2"/>
      </rPr>
      <t>CT</t>
    </r>
    <r>
      <rPr>
        <sz val="9"/>
        <color theme="1"/>
        <rFont val="Arial"/>
        <family val="2"/>
      </rPr>
      <t>.</t>
    </r>
  </si>
  <si>
    <r>
      <t>L</t>
    </r>
    <r>
      <rPr>
        <vertAlign val="subscript"/>
        <sz val="9"/>
        <color theme="1"/>
        <rFont val="Arial"/>
        <family val="2"/>
      </rPr>
      <t>t</t>
    </r>
    <r>
      <rPr>
        <sz val="9"/>
        <color theme="1"/>
        <rFont val="Arial"/>
        <family val="2"/>
      </rPr>
      <t xml:space="preserve"> =</t>
    </r>
  </si>
  <si>
    <r>
      <t>T</t>
    </r>
    <r>
      <rPr>
        <vertAlign val="subscript"/>
        <sz val="9"/>
        <color theme="1"/>
        <rFont val="Arial"/>
        <family val="2"/>
      </rPr>
      <t>mid</t>
    </r>
    <r>
      <rPr>
        <sz val="9"/>
        <color theme="1"/>
        <rFont val="Arial"/>
        <family val="2"/>
      </rPr>
      <t xml:space="preserve"> =</t>
    </r>
  </si>
  <si>
    <r>
      <t>M</t>
    </r>
    <r>
      <rPr>
        <vertAlign val="subscript"/>
        <sz val="9"/>
        <color theme="1"/>
        <rFont val="Arial"/>
        <family val="2"/>
      </rPr>
      <t>CTmid</t>
    </r>
    <r>
      <rPr>
        <sz val="9"/>
        <color theme="1"/>
        <rFont val="Arial"/>
        <family val="2"/>
      </rPr>
      <t xml:space="preserve"> =</t>
    </r>
  </si>
  <si>
    <r>
      <t>T</t>
    </r>
    <r>
      <rPr>
        <vertAlign val="subscript"/>
        <sz val="9"/>
        <color theme="1"/>
        <rFont val="Arial"/>
        <family val="2"/>
      </rPr>
      <t>post</t>
    </r>
    <r>
      <rPr>
        <sz val="9"/>
        <color theme="1"/>
        <rFont val="Arial"/>
        <family val="2"/>
      </rPr>
      <t xml:space="preserve"> =</t>
    </r>
  </si>
  <si>
    <r>
      <t>M</t>
    </r>
    <r>
      <rPr>
        <vertAlign val="subscript"/>
        <sz val="9"/>
        <color theme="1"/>
        <rFont val="Arial"/>
        <family val="2"/>
      </rPr>
      <t>CTpost</t>
    </r>
    <r>
      <rPr>
        <sz val="9"/>
        <color theme="1"/>
        <rFont val="Arial"/>
        <family val="2"/>
      </rPr>
      <t xml:space="preserve"> =</t>
    </r>
  </si>
  <si>
    <r>
      <t>Use greater of the two failure modes \ M</t>
    </r>
    <r>
      <rPr>
        <vertAlign val="subscript"/>
        <sz val="9"/>
        <color theme="1"/>
        <rFont val="Arial"/>
        <family val="2"/>
      </rPr>
      <t>ct</t>
    </r>
    <r>
      <rPr>
        <sz val="9"/>
        <color theme="1"/>
        <rFont val="Arial"/>
        <family val="2"/>
      </rPr>
      <t xml:space="preserve"> =</t>
    </r>
  </si>
  <si>
    <t>EXAMPLE 6.2 - TYPE 10 MASH STRENGTH DESIGN</t>
  </si>
  <si>
    <t>CDOT Bridge Rail Type 10MASH consists of a concrete parapet and a metal rail. The resistance to transverse vehicular impact loads shall be determined as specified in AASHTO LRFD Bridge Design Specifications A13.3.3. End impact is not considered. See CDOT Worksheet B-606-10MASH for barrier details.</t>
  </si>
  <si>
    <r>
      <t>1. Determine M</t>
    </r>
    <r>
      <rPr>
        <i/>
        <vertAlign val="subscript"/>
        <sz val="9"/>
        <color theme="1"/>
        <rFont val="Arial"/>
        <family val="2"/>
      </rPr>
      <t>W</t>
    </r>
    <r>
      <rPr>
        <i/>
        <sz val="9"/>
        <color theme="1"/>
        <rFont val="Arial"/>
        <family val="2"/>
      </rPr>
      <t xml:space="preserve">: flexural resistance of the parapet about its vertical axis. Positive and negative 
   moment strength must be evaluated but will be equal based on barrier longitudinal reinforcement. </t>
    </r>
  </si>
  <si>
    <r>
      <t>3. Determine R</t>
    </r>
    <r>
      <rPr>
        <i/>
        <vertAlign val="subscript"/>
        <sz val="9"/>
        <color theme="1"/>
        <rFont val="Arial"/>
        <family val="2"/>
      </rPr>
      <t>W</t>
    </r>
    <r>
      <rPr>
        <i/>
        <sz val="9"/>
        <color theme="1"/>
        <rFont val="Arial"/>
        <family val="2"/>
      </rPr>
      <t xml:space="preserve"> (nominal railing resistance to transverse load) within a wall segment.</t>
    </r>
  </si>
  <si>
    <r>
      <t>4. Calculate maximum post capacity P</t>
    </r>
    <r>
      <rPr>
        <i/>
        <vertAlign val="subscript"/>
        <sz val="9"/>
        <color theme="1"/>
        <rFont val="Arial"/>
        <family val="2"/>
      </rPr>
      <t>P</t>
    </r>
    <r>
      <rPr>
        <i/>
        <sz val="9"/>
        <color theme="1"/>
        <rFont val="Arial"/>
        <family val="2"/>
      </rPr>
      <t>.</t>
    </r>
  </si>
  <si>
    <r>
      <t>V</t>
    </r>
    <r>
      <rPr>
        <vertAlign val="subscript"/>
        <sz val="9"/>
        <color theme="1"/>
        <rFont val="Arial"/>
        <family val="2"/>
      </rPr>
      <t>b1</t>
    </r>
    <r>
      <rPr>
        <sz val="9"/>
        <color theme="1"/>
        <rFont val="Arial"/>
        <family val="2"/>
      </rPr>
      <t xml:space="preserve"> =</t>
    </r>
  </si>
  <si>
    <r>
      <t>V</t>
    </r>
    <r>
      <rPr>
        <vertAlign val="subscript"/>
        <sz val="9"/>
        <color theme="1"/>
        <rFont val="Arial"/>
        <family val="2"/>
      </rPr>
      <t>b2</t>
    </r>
    <r>
      <rPr>
        <sz val="9"/>
        <color theme="1"/>
        <rFont val="Arial"/>
        <family val="2"/>
      </rPr>
      <t xml:space="preserve"> =</t>
    </r>
  </si>
  <si>
    <r>
      <t>(Min of h</t>
    </r>
    <r>
      <rPr>
        <vertAlign val="subscript"/>
        <sz val="9"/>
        <color theme="1"/>
        <rFont val="Arial"/>
        <family val="2"/>
      </rPr>
      <t>ef</t>
    </r>
    <r>
      <rPr>
        <sz val="9"/>
        <color theme="1"/>
        <rFont val="Arial"/>
        <family val="2"/>
      </rPr>
      <t xml:space="preserve"> and 8</t>
    </r>
    <r>
      <rPr>
        <sz val="9"/>
        <color theme="1"/>
        <rFont val="Symbol"/>
        <family val="1"/>
        <charset val="2"/>
      </rPr>
      <t>f</t>
    </r>
    <r>
      <rPr>
        <sz val="9"/>
        <color theme="1"/>
        <rFont val="Arial"/>
        <family val="2"/>
      </rPr>
      <t>)</t>
    </r>
  </si>
  <si>
    <r>
      <rPr>
        <sz val="9"/>
        <color theme="1"/>
        <rFont val="Symbol"/>
        <family val="1"/>
        <charset val="2"/>
      </rPr>
      <t>l</t>
    </r>
    <r>
      <rPr>
        <vertAlign val="subscript"/>
        <sz val="9"/>
        <color theme="1"/>
        <rFont val="Arial"/>
        <family val="2"/>
      </rPr>
      <t>a</t>
    </r>
    <r>
      <rPr>
        <sz val="9"/>
        <color theme="1"/>
        <rFont val="Arial"/>
        <family val="2"/>
      </rPr>
      <t xml:space="preserve"> = 1.0 for normal weight concrete</t>
    </r>
  </si>
  <si>
    <r>
      <t xml:space="preserve">There is no eccentricity in shear loading and so modification factor for eccentricity </t>
    </r>
    <r>
      <rPr>
        <sz val="9"/>
        <color theme="1"/>
        <rFont val="Symbol"/>
        <family val="1"/>
        <charset val="2"/>
      </rPr>
      <t>y</t>
    </r>
    <r>
      <rPr>
        <vertAlign val="subscript"/>
        <sz val="9"/>
        <color theme="1"/>
        <rFont val="Arial"/>
        <family val="2"/>
      </rPr>
      <t>ec,V</t>
    </r>
    <r>
      <rPr>
        <sz val="9"/>
        <color theme="1"/>
        <rFont val="Arial"/>
        <family val="2"/>
      </rPr>
      <t xml:space="preserve"> = 1.0</t>
    </r>
  </si>
  <si>
    <r>
      <t>Edge distances (along the curb) &gt; 1.5 x bolt distance and so modification factor for edge distance</t>
    </r>
    <r>
      <rPr>
        <sz val="9"/>
        <color theme="1"/>
        <rFont val="Symbol"/>
        <family val="1"/>
        <charset val="2"/>
      </rPr>
      <t xml:space="preserve"> y</t>
    </r>
    <r>
      <rPr>
        <vertAlign val="subscript"/>
        <sz val="9"/>
        <color theme="1"/>
        <rFont val="Arial"/>
        <family val="2"/>
      </rPr>
      <t>ed,V</t>
    </r>
    <r>
      <rPr>
        <sz val="9"/>
        <color theme="1"/>
        <rFont val="Arial"/>
        <family val="2"/>
      </rPr>
      <t xml:space="preserve"> = 1.0</t>
    </r>
  </si>
  <si>
    <r>
      <t xml:space="preserve">Analysis indicates no cracking at service loads and so modification factor for concrete </t>
    </r>
    <r>
      <rPr>
        <sz val="9"/>
        <color theme="1"/>
        <rFont val="Symbol"/>
        <family val="1"/>
        <charset val="2"/>
      </rPr>
      <t>y</t>
    </r>
    <r>
      <rPr>
        <vertAlign val="subscript"/>
        <sz val="9"/>
        <color theme="1"/>
        <rFont val="Arial"/>
        <family val="2"/>
      </rPr>
      <t>c,V</t>
    </r>
    <r>
      <rPr>
        <sz val="9"/>
        <color theme="1"/>
        <rFont val="Arial"/>
        <family val="2"/>
      </rPr>
      <t xml:space="preserve"> = 1.4</t>
    </r>
  </si>
  <si>
    <r>
      <rPr>
        <sz val="9"/>
        <color theme="1"/>
        <rFont val="Symbol"/>
        <family val="1"/>
        <charset val="2"/>
      </rPr>
      <t>f</t>
    </r>
    <r>
      <rPr>
        <sz val="9"/>
        <color theme="1"/>
        <rFont val="Arial"/>
        <family val="2"/>
      </rPr>
      <t>=</t>
    </r>
  </si>
  <si>
    <r>
      <t>P</t>
    </r>
    <r>
      <rPr>
        <vertAlign val="subscript"/>
        <sz val="9"/>
        <color theme="1"/>
        <rFont val="Arial"/>
        <family val="2"/>
      </rPr>
      <t>P</t>
    </r>
    <r>
      <rPr>
        <sz val="9"/>
        <color theme="1"/>
        <rFont val="Arial"/>
        <family val="2"/>
      </rPr>
      <t xml:space="preserve"> =</t>
    </r>
  </si>
  <si>
    <r>
      <rPr>
        <sz val="9"/>
        <rFont val="Arial"/>
        <family val="2"/>
      </rPr>
      <t xml:space="preserve">• </t>
    </r>
    <r>
      <rPr>
        <sz val="9"/>
        <color theme="1"/>
        <rFont val="Arial"/>
        <family val="2"/>
      </rPr>
      <t>Case 2 - Vertical force from vehicle collision load (Extreme Event II limit state)</t>
    </r>
  </si>
  <si>
    <r>
      <rPr>
        <sz val="9"/>
        <rFont val="Arial"/>
        <family val="2"/>
      </rPr>
      <t xml:space="preserve">• </t>
    </r>
    <r>
      <rPr>
        <sz val="9"/>
        <color theme="1"/>
        <rFont val="Arial"/>
        <family val="2"/>
      </rPr>
      <t>Case 3 - Vertical Dead and Live Load at the overhang section (Strength I limit state)</t>
    </r>
  </si>
  <si>
    <r>
      <t>W</t>
    </r>
    <r>
      <rPr>
        <vertAlign val="subscript"/>
        <sz val="9"/>
        <rFont val="Arial"/>
        <family val="2"/>
      </rPr>
      <t>B</t>
    </r>
    <r>
      <rPr>
        <sz val="9"/>
        <color theme="1"/>
        <rFont val="Arial"/>
        <family val="2"/>
      </rPr>
      <t xml:space="preserve"> =</t>
    </r>
  </si>
  <si>
    <r>
      <rPr>
        <sz val="9"/>
        <rFont val="Arial"/>
        <family val="2"/>
      </rPr>
      <t>W</t>
    </r>
    <r>
      <rPr>
        <vertAlign val="subscript"/>
        <sz val="9"/>
        <rFont val="Arial"/>
        <family val="2"/>
      </rPr>
      <t>Barrier</t>
    </r>
    <r>
      <rPr>
        <sz val="9"/>
        <color theme="1"/>
        <rFont val="Arial"/>
        <family val="2"/>
      </rPr>
      <t xml:space="preserve"> =</t>
    </r>
  </si>
  <si>
    <r>
      <rPr>
        <sz val="9"/>
        <rFont val="Arial"/>
        <family val="2"/>
      </rPr>
      <t>W</t>
    </r>
    <r>
      <rPr>
        <vertAlign val="subscript"/>
        <sz val="9"/>
        <rFont val="Arial"/>
        <family val="2"/>
      </rPr>
      <t>WS</t>
    </r>
    <r>
      <rPr>
        <sz val="9"/>
        <color theme="1"/>
        <rFont val="Arial"/>
        <family val="2"/>
      </rPr>
      <t xml:space="preserve"> =</t>
    </r>
  </si>
  <si>
    <r>
      <rPr>
        <sz val="9"/>
        <rFont val="Arial"/>
        <family val="2"/>
      </rPr>
      <t>W</t>
    </r>
    <r>
      <rPr>
        <vertAlign val="subscript"/>
        <sz val="9"/>
        <rFont val="Arial"/>
        <family val="2"/>
      </rPr>
      <t>C</t>
    </r>
    <r>
      <rPr>
        <sz val="9"/>
        <color theme="1"/>
        <rFont val="Arial"/>
        <family val="2"/>
      </rPr>
      <t xml:space="preserve"> =</t>
    </r>
  </si>
  <si>
    <r>
      <t>X</t>
    </r>
    <r>
      <rPr>
        <vertAlign val="subscript"/>
        <sz val="9"/>
        <rFont val="Arial"/>
        <family val="2"/>
      </rPr>
      <t>C.G.</t>
    </r>
    <r>
      <rPr>
        <sz val="9"/>
        <color theme="1"/>
        <rFont val="Arial"/>
        <family val="2"/>
      </rPr>
      <t xml:space="preserve"> =</t>
    </r>
  </si>
  <si>
    <r>
      <t>M</t>
    </r>
    <r>
      <rPr>
        <vertAlign val="subscript"/>
        <sz val="9"/>
        <rFont val="Arial"/>
        <family val="2"/>
      </rPr>
      <t>C</t>
    </r>
    <r>
      <rPr>
        <sz val="9"/>
        <color theme="1"/>
        <rFont val="Arial"/>
        <family val="2"/>
      </rPr>
      <t xml:space="preserve"> =</t>
    </r>
  </si>
  <si>
    <r>
      <t>L</t>
    </r>
    <r>
      <rPr>
        <vertAlign val="subscript"/>
        <sz val="9"/>
        <rFont val="Arial"/>
        <family val="2"/>
      </rPr>
      <t>C</t>
    </r>
    <r>
      <rPr>
        <sz val="9"/>
        <color theme="1"/>
        <rFont val="Arial"/>
        <family val="2"/>
      </rPr>
      <t xml:space="preserve"> =</t>
    </r>
  </si>
  <si>
    <r>
      <t>S</t>
    </r>
    <r>
      <rPr>
        <vertAlign val="subscript"/>
        <sz val="9"/>
        <rFont val="Arial"/>
        <family val="2"/>
      </rPr>
      <t>OH</t>
    </r>
    <r>
      <rPr>
        <sz val="9"/>
        <color theme="1"/>
        <rFont val="Arial"/>
        <family val="2"/>
      </rPr>
      <t xml:space="preserve"> =</t>
    </r>
  </si>
  <si>
    <r>
      <t>S</t>
    </r>
    <r>
      <rPr>
        <vertAlign val="subscript"/>
        <sz val="9"/>
        <rFont val="Arial"/>
        <family val="2"/>
      </rPr>
      <t>Gdr_Edge</t>
    </r>
    <r>
      <rPr>
        <sz val="9"/>
        <color theme="1"/>
        <rFont val="Arial"/>
        <family val="2"/>
      </rPr>
      <t xml:space="preserve"> =</t>
    </r>
  </si>
  <si>
    <r>
      <t>t</t>
    </r>
    <r>
      <rPr>
        <vertAlign val="subscript"/>
        <sz val="9"/>
        <rFont val="Arial"/>
        <family val="2"/>
      </rPr>
      <t>OH(min)</t>
    </r>
    <r>
      <rPr>
        <sz val="9"/>
        <color theme="1"/>
        <rFont val="Arial"/>
        <family val="2"/>
      </rPr>
      <t xml:space="preserve"> =</t>
    </r>
  </si>
  <si>
    <r>
      <t>t</t>
    </r>
    <r>
      <rPr>
        <vertAlign val="subscript"/>
        <sz val="9"/>
        <rFont val="Arial"/>
        <family val="2"/>
      </rPr>
      <t>OH(max)</t>
    </r>
    <r>
      <rPr>
        <sz val="9"/>
        <color theme="1"/>
        <rFont val="Arial"/>
        <family val="2"/>
      </rPr>
      <t xml:space="preserve"> =</t>
    </r>
  </si>
  <si>
    <r>
      <t>c</t>
    </r>
    <r>
      <rPr>
        <vertAlign val="subscript"/>
        <sz val="9"/>
        <rFont val="Arial"/>
        <family val="2"/>
      </rPr>
      <t>Top</t>
    </r>
    <r>
      <rPr>
        <sz val="9"/>
        <color theme="1"/>
        <rFont val="Arial"/>
        <family val="2"/>
      </rPr>
      <t xml:space="preserve"> =</t>
    </r>
  </si>
  <si>
    <r>
      <t>f'</t>
    </r>
    <r>
      <rPr>
        <vertAlign val="subscript"/>
        <sz val="9"/>
        <rFont val="Arial"/>
        <family val="2"/>
      </rPr>
      <t>c</t>
    </r>
    <r>
      <rPr>
        <sz val="9"/>
        <color theme="1"/>
        <rFont val="Arial"/>
        <family val="2"/>
      </rPr>
      <t xml:space="preserve"> =</t>
    </r>
  </si>
  <si>
    <r>
      <t>f</t>
    </r>
    <r>
      <rPr>
        <vertAlign val="subscript"/>
        <sz val="9"/>
        <rFont val="Arial"/>
        <family val="2"/>
      </rPr>
      <t>y</t>
    </r>
    <r>
      <rPr>
        <sz val="9"/>
        <color theme="1"/>
        <rFont val="Arial"/>
        <family val="2"/>
      </rPr>
      <t xml:space="preserve"> =</t>
    </r>
  </si>
  <si>
    <r>
      <t>F</t>
    </r>
    <r>
      <rPr>
        <vertAlign val="subscript"/>
        <sz val="9"/>
        <rFont val="Arial"/>
        <family val="2"/>
      </rPr>
      <t>V</t>
    </r>
    <r>
      <rPr>
        <sz val="9"/>
        <color theme="1"/>
        <rFont val="Arial"/>
        <family val="2"/>
      </rPr>
      <t xml:space="preserve"> =</t>
    </r>
  </si>
  <si>
    <r>
      <t>L</t>
    </r>
    <r>
      <rPr>
        <vertAlign val="subscript"/>
        <sz val="9"/>
        <rFont val="Arial"/>
        <family val="2"/>
      </rPr>
      <t>V</t>
    </r>
    <r>
      <rPr>
        <sz val="9"/>
        <color theme="1"/>
        <rFont val="Arial"/>
        <family val="2"/>
      </rPr>
      <t xml:space="preserve"> =</t>
    </r>
  </si>
  <si>
    <r>
      <t>h</t>
    </r>
    <r>
      <rPr>
        <vertAlign val="subscript"/>
        <sz val="9"/>
        <rFont val="Arial"/>
        <family val="2"/>
      </rPr>
      <t>Design</t>
    </r>
    <r>
      <rPr>
        <sz val="9"/>
        <color theme="1"/>
        <rFont val="Arial"/>
        <family val="2"/>
      </rPr>
      <t xml:space="preserve"> =</t>
    </r>
  </si>
  <si>
    <r>
      <t>M</t>
    </r>
    <r>
      <rPr>
        <vertAlign val="subscript"/>
        <sz val="9"/>
        <rFont val="Arial"/>
        <family val="2"/>
      </rPr>
      <t>DC-Barrier</t>
    </r>
    <r>
      <rPr>
        <sz val="9"/>
        <color theme="1"/>
        <rFont val="Arial"/>
        <family val="2"/>
      </rPr>
      <t xml:space="preserve"> = W</t>
    </r>
    <r>
      <rPr>
        <vertAlign val="subscript"/>
        <sz val="9"/>
        <rFont val="Arial"/>
        <family val="2"/>
      </rPr>
      <t>Barrier</t>
    </r>
    <r>
      <rPr>
        <sz val="9"/>
        <color theme="1"/>
        <rFont val="Arial"/>
        <family val="2"/>
      </rPr>
      <t xml:space="preserve"> * (K - X</t>
    </r>
    <r>
      <rPr>
        <vertAlign val="subscript"/>
        <sz val="9"/>
        <rFont val="Arial"/>
        <family val="2"/>
      </rPr>
      <t>C.G.</t>
    </r>
    <r>
      <rPr>
        <sz val="9"/>
        <color theme="1"/>
        <rFont val="Arial"/>
        <family val="2"/>
      </rPr>
      <t>) =</t>
    </r>
  </si>
  <si>
    <r>
      <t>M</t>
    </r>
    <r>
      <rPr>
        <vertAlign val="subscript"/>
        <sz val="9"/>
        <rFont val="Arial"/>
        <family val="2"/>
      </rPr>
      <t>DC-Deck</t>
    </r>
    <r>
      <rPr>
        <sz val="9"/>
        <color theme="1"/>
        <rFont val="Arial"/>
        <family val="2"/>
      </rPr>
      <t xml:space="preserve"> = W</t>
    </r>
    <r>
      <rPr>
        <vertAlign val="subscript"/>
        <sz val="9"/>
        <rFont val="Arial"/>
        <family val="2"/>
      </rPr>
      <t>C</t>
    </r>
    <r>
      <rPr>
        <sz val="9"/>
        <color theme="1"/>
        <rFont val="Arial"/>
        <family val="2"/>
      </rPr>
      <t xml:space="preserve"> * t</t>
    </r>
    <r>
      <rPr>
        <vertAlign val="subscript"/>
        <sz val="9"/>
        <rFont val="Arial"/>
        <family val="2"/>
      </rPr>
      <t>OH(min)</t>
    </r>
    <r>
      <rPr>
        <sz val="9"/>
        <color theme="1"/>
        <rFont val="Arial"/>
        <family val="2"/>
      </rPr>
      <t xml:space="preserve"> * K</t>
    </r>
    <r>
      <rPr>
        <vertAlign val="superscript"/>
        <sz val="9"/>
        <rFont val="Arial"/>
        <family val="2"/>
      </rPr>
      <t xml:space="preserve">2 </t>
    </r>
    <r>
      <rPr>
        <sz val="9"/>
        <color theme="1"/>
        <rFont val="Arial"/>
        <family val="2"/>
      </rPr>
      <t>/ 2 =</t>
    </r>
  </si>
  <si>
    <r>
      <t>M</t>
    </r>
    <r>
      <rPr>
        <vertAlign val="subscript"/>
        <sz val="9"/>
        <rFont val="Arial"/>
        <family val="2"/>
      </rPr>
      <t>DC-Add</t>
    </r>
    <r>
      <rPr>
        <sz val="9"/>
        <color theme="1"/>
        <rFont val="Arial"/>
        <family val="2"/>
      </rPr>
      <t xml:space="preserve"> = 0.5 W</t>
    </r>
    <r>
      <rPr>
        <vertAlign val="subscript"/>
        <sz val="9"/>
        <rFont val="Arial"/>
        <family val="2"/>
      </rPr>
      <t>C</t>
    </r>
    <r>
      <rPr>
        <sz val="9"/>
        <color theme="1"/>
        <rFont val="Arial"/>
        <family val="2"/>
      </rPr>
      <t xml:space="preserve"> * S</t>
    </r>
    <r>
      <rPr>
        <vertAlign val="subscript"/>
        <sz val="9"/>
        <rFont val="Arial"/>
        <family val="2"/>
      </rPr>
      <t>Gdr_Edge</t>
    </r>
    <r>
      <rPr>
        <sz val="9"/>
        <color theme="1"/>
        <rFont val="Arial"/>
        <family val="2"/>
      </rPr>
      <t xml:space="preserve"> (T</t>
    </r>
    <r>
      <rPr>
        <vertAlign val="subscript"/>
        <sz val="9"/>
        <rFont val="Arial"/>
        <family val="2"/>
      </rPr>
      <t>OH(max)</t>
    </r>
    <r>
      <rPr>
        <sz val="9"/>
        <color theme="1"/>
        <rFont val="Arial"/>
        <family val="2"/>
      </rPr>
      <t xml:space="preserve"> - T</t>
    </r>
    <r>
      <rPr>
        <vertAlign val="subscript"/>
        <sz val="9"/>
        <rFont val="Arial"/>
        <family val="2"/>
      </rPr>
      <t>OH(min)</t>
    </r>
    <r>
      <rPr>
        <sz val="9"/>
        <color theme="1"/>
        <rFont val="Arial"/>
        <family val="2"/>
      </rPr>
      <t>) * (K - 2/3 S</t>
    </r>
    <r>
      <rPr>
        <vertAlign val="subscript"/>
        <sz val="9"/>
        <rFont val="Arial"/>
        <family val="2"/>
      </rPr>
      <t>Gdr_Edge</t>
    </r>
    <r>
      <rPr>
        <sz val="9"/>
        <color theme="1"/>
        <rFont val="Arial"/>
        <family val="2"/>
      </rPr>
      <t>) =</t>
    </r>
  </si>
  <si>
    <r>
      <t>Total DC = M</t>
    </r>
    <r>
      <rPr>
        <vertAlign val="subscript"/>
        <sz val="9"/>
        <rFont val="Arial"/>
        <family val="2"/>
      </rPr>
      <t>DC-Barrier</t>
    </r>
    <r>
      <rPr>
        <sz val="9"/>
        <color theme="1"/>
        <rFont val="Arial"/>
        <family val="2"/>
      </rPr>
      <t xml:space="preserve"> + M</t>
    </r>
    <r>
      <rPr>
        <vertAlign val="subscript"/>
        <sz val="9"/>
        <rFont val="Arial"/>
        <family val="2"/>
      </rPr>
      <t>DC-Deck</t>
    </r>
    <r>
      <rPr>
        <sz val="9"/>
        <color theme="1"/>
        <rFont val="Arial"/>
        <family val="2"/>
      </rPr>
      <t xml:space="preserve"> + M</t>
    </r>
    <r>
      <rPr>
        <vertAlign val="subscript"/>
        <sz val="9"/>
        <rFont val="Arial"/>
        <family val="2"/>
      </rPr>
      <t xml:space="preserve">DC-Add </t>
    </r>
    <r>
      <rPr>
        <sz val="9"/>
        <color theme="1"/>
        <rFont val="Arial"/>
        <family val="2"/>
      </rPr>
      <t>=</t>
    </r>
  </si>
  <si>
    <r>
      <t>M</t>
    </r>
    <r>
      <rPr>
        <vertAlign val="subscript"/>
        <sz val="9"/>
        <rFont val="Arial"/>
        <family val="2"/>
      </rPr>
      <t>DW-WS</t>
    </r>
    <r>
      <rPr>
        <sz val="9"/>
        <color theme="1"/>
        <rFont val="Arial"/>
        <family val="2"/>
      </rPr>
      <t xml:space="preserve"> = W</t>
    </r>
    <r>
      <rPr>
        <vertAlign val="subscript"/>
        <sz val="9"/>
        <rFont val="Arial"/>
        <family val="2"/>
      </rPr>
      <t>WS</t>
    </r>
    <r>
      <rPr>
        <sz val="9"/>
        <color theme="1"/>
        <rFont val="Arial"/>
        <family val="2"/>
      </rPr>
      <t xml:space="preserve"> * 3 in. * X</t>
    </r>
    <r>
      <rPr>
        <vertAlign val="superscript"/>
        <sz val="9"/>
        <rFont val="Arial"/>
        <family val="2"/>
      </rPr>
      <t>2</t>
    </r>
    <r>
      <rPr>
        <sz val="9"/>
        <color theme="1"/>
        <rFont val="Arial"/>
        <family val="2"/>
      </rPr>
      <t xml:space="preserve"> / 2 =</t>
    </r>
  </si>
  <si>
    <r>
      <t>M</t>
    </r>
    <r>
      <rPr>
        <vertAlign val="subscript"/>
        <sz val="9"/>
        <rFont val="Arial"/>
        <family val="2"/>
      </rPr>
      <t>CT</t>
    </r>
    <r>
      <rPr>
        <sz val="9"/>
        <color theme="1"/>
        <rFont val="Arial"/>
        <family val="2"/>
      </rPr>
      <t xml:space="preserve"> = M</t>
    </r>
    <r>
      <rPr>
        <vertAlign val="subscript"/>
        <sz val="9"/>
        <rFont val="Arial"/>
        <family val="2"/>
      </rPr>
      <t>C</t>
    </r>
    <r>
      <rPr>
        <sz val="9"/>
        <color theme="1"/>
        <rFont val="Arial"/>
        <family val="2"/>
      </rPr>
      <t xml:space="preserve"> =</t>
    </r>
  </si>
  <si>
    <r>
      <t>Mu</t>
    </r>
    <r>
      <rPr>
        <vertAlign val="subscript"/>
        <sz val="9"/>
        <rFont val="Arial"/>
        <family val="2"/>
      </rPr>
      <t>1</t>
    </r>
    <r>
      <rPr>
        <sz val="9"/>
        <color theme="1"/>
        <rFont val="Arial"/>
        <family val="2"/>
      </rPr>
      <t xml:space="preserve"> = 1.0M</t>
    </r>
    <r>
      <rPr>
        <vertAlign val="subscript"/>
        <sz val="9"/>
        <rFont val="Arial"/>
        <family val="2"/>
      </rPr>
      <t>DC</t>
    </r>
    <r>
      <rPr>
        <sz val="9"/>
        <color theme="1"/>
        <rFont val="Arial"/>
        <family val="2"/>
      </rPr>
      <t xml:space="preserve"> + 1.0M</t>
    </r>
    <r>
      <rPr>
        <vertAlign val="subscript"/>
        <sz val="9"/>
        <rFont val="Arial"/>
        <family val="2"/>
      </rPr>
      <t>DW</t>
    </r>
    <r>
      <rPr>
        <sz val="9"/>
        <color theme="1"/>
        <rFont val="Arial"/>
        <family val="2"/>
      </rPr>
      <t xml:space="preserve"> + 1.0M</t>
    </r>
    <r>
      <rPr>
        <vertAlign val="subscript"/>
        <sz val="9"/>
        <rFont val="Arial"/>
        <family val="2"/>
      </rPr>
      <t>CT</t>
    </r>
    <r>
      <rPr>
        <sz val="9"/>
        <color theme="1"/>
        <rFont val="Arial"/>
        <family val="2"/>
      </rPr>
      <t xml:space="preserve"> =</t>
    </r>
  </si>
  <si>
    <r>
      <t>l</t>
    </r>
    <r>
      <rPr>
        <vertAlign val="subscript"/>
        <sz val="9"/>
        <color theme="1"/>
        <rFont val="Arial"/>
        <family val="2"/>
      </rPr>
      <t>a</t>
    </r>
    <r>
      <rPr>
        <sz val="9"/>
        <color theme="1"/>
        <rFont val="Arial"/>
        <family val="2"/>
      </rPr>
      <t>=</t>
    </r>
  </si>
  <si>
    <r>
      <t>M</t>
    </r>
    <r>
      <rPr>
        <vertAlign val="subscript"/>
        <sz val="9"/>
        <color theme="1"/>
        <rFont val="Arial"/>
        <family val="2"/>
      </rPr>
      <t>V-CT</t>
    </r>
    <r>
      <rPr>
        <sz val="9"/>
        <color theme="1"/>
        <rFont val="Arial"/>
        <family val="2"/>
      </rPr>
      <t xml:space="preserve"> = F</t>
    </r>
    <r>
      <rPr>
        <vertAlign val="subscript"/>
        <sz val="9"/>
        <color theme="1"/>
        <rFont val="Arial"/>
        <family val="2"/>
      </rPr>
      <t>V</t>
    </r>
    <r>
      <rPr>
        <sz val="9"/>
        <color theme="1"/>
        <rFont val="Arial"/>
        <family val="2"/>
      </rPr>
      <t xml:space="preserve"> * l</t>
    </r>
    <r>
      <rPr>
        <vertAlign val="subscript"/>
        <sz val="9"/>
        <color theme="1"/>
        <rFont val="Arial"/>
        <family val="2"/>
      </rPr>
      <t>a</t>
    </r>
    <r>
      <rPr>
        <sz val="9"/>
        <color theme="1"/>
        <rFont val="Arial"/>
        <family val="2"/>
      </rPr>
      <t xml:space="preserve"> / L</t>
    </r>
    <r>
      <rPr>
        <vertAlign val="subscript"/>
        <sz val="9"/>
        <color theme="1"/>
        <rFont val="Arial"/>
        <family val="2"/>
      </rPr>
      <t xml:space="preserve">V </t>
    </r>
    <r>
      <rPr>
        <sz val="9"/>
        <color theme="1"/>
        <rFont val="Arial"/>
        <family val="2"/>
      </rPr>
      <t>=</t>
    </r>
  </si>
  <si>
    <r>
      <t>M</t>
    </r>
    <r>
      <rPr>
        <vertAlign val="subscript"/>
        <sz val="9"/>
        <color theme="1"/>
        <rFont val="Arial"/>
        <family val="2"/>
      </rPr>
      <t xml:space="preserve">DC </t>
    </r>
    <r>
      <rPr>
        <sz val="9"/>
        <color theme="1"/>
        <rFont val="Arial"/>
        <family val="2"/>
      </rPr>
      <t>=</t>
    </r>
  </si>
  <si>
    <r>
      <t>Mu</t>
    </r>
    <r>
      <rPr>
        <vertAlign val="subscript"/>
        <sz val="9"/>
        <rFont val="Arial"/>
        <family val="2"/>
      </rPr>
      <t>2</t>
    </r>
    <r>
      <rPr>
        <sz val="9"/>
        <color theme="1"/>
        <rFont val="Arial"/>
        <family val="2"/>
      </rPr>
      <t xml:space="preserve"> = 1.0M</t>
    </r>
    <r>
      <rPr>
        <vertAlign val="subscript"/>
        <sz val="9"/>
        <rFont val="Arial"/>
        <family val="2"/>
      </rPr>
      <t>DC</t>
    </r>
    <r>
      <rPr>
        <sz val="9"/>
        <color theme="1"/>
        <rFont val="Arial"/>
        <family val="2"/>
      </rPr>
      <t xml:space="preserve"> + 1.0M</t>
    </r>
    <r>
      <rPr>
        <vertAlign val="subscript"/>
        <sz val="9"/>
        <rFont val="Arial"/>
        <family val="2"/>
      </rPr>
      <t>CT</t>
    </r>
    <r>
      <rPr>
        <sz val="9"/>
        <color theme="1"/>
        <rFont val="Arial"/>
        <family val="2"/>
      </rPr>
      <t xml:space="preserve"> =</t>
    </r>
  </si>
  <si>
    <r>
      <t>M</t>
    </r>
    <r>
      <rPr>
        <vertAlign val="subscript"/>
        <sz val="9"/>
        <rFont val="Arial"/>
        <family val="2"/>
      </rPr>
      <t>DC-Barrier</t>
    </r>
    <r>
      <rPr>
        <sz val="9"/>
        <color theme="1"/>
        <rFont val="Arial"/>
        <family val="2"/>
      </rPr>
      <t xml:space="preserve"> =</t>
    </r>
  </si>
  <si>
    <r>
      <t>M</t>
    </r>
    <r>
      <rPr>
        <vertAlign val="subscript"/>
        <sz val="9"/>
        <rFont val="Arial"/>
        <family val="2"/>
      </rPr>
      <t>DC-Deck</t>
    </r>
    <r>
      <rPr>
        <sz val="9"/>
        <color theme="1"/>
        <rFont val="Arial"/>
        <family val="2"/>
      </rPr>
      <t xml:space="preserve"> =</t>
    </r>
  </si>
  <si>
    <r>
      <t>M</t>
    </r>
    <r>
      <rPr>
        <vertAlign val="subscript"/>
        <sz val="9"/>
        <color theme="1"/>
        <rFont val="Arial"/>
        <family val="2"/>
      </rPr>
      <t>u1</t>
    </r>
    <r>
      <rPr>
        <sz val="9"/>
        <color theme="1"/>
        <rFont val="Arial"/>
        <family val="2"/>
      </rPr>
      <t xml:space="preserve"> =</t>
    </r>
  </si>
  <si>
    <r>
      <t>M</t>
    </r>
    <r>
      <rPr>
        <vertAlign val="subscript"/>
        <sz val="9"/>
        <color theme="1"/>
        <rFont val="Arial"/>
        <family val="2"/>
      </rPr>
      <t>u2</t>
    </r>
    <r>
      <rPr>
        <sz val="9"/>
        <color theme="1"/>
        <rFont val="Arial"/>
        <family val="2"/>
      </rPr>
      <t xml:space="preserve"> =</t>
    </r>
  </si>
  <si>
    <r>
      <t>M</t>
    </r>
    <r>
      <rPr>
        <vertAlign val="subscript"/>
        <sz val="9"/>
        <color theme="1"/>
        <rFont val="Arial"/>
        <family val="2"/>
      </rPr>
      <t>u3</t>
    </r>
    <r>
      <rPr>
        <sz val="9"/>
        <color theme="1"/>
        <rFont val="Arial"/>
        <family val="2"/>
      </rPr>
      <t xml:space="preserve"> =</t>
    </r>
  </si>
  <si>
    <r>
      <t>A</t>
    </r>
    <r>
      <rPr>
        <vertAlign val="subscript"/>
        <sz val="9"/>
        <rFont val="Arial"/>
        <family val="2"/>
      </rPr>
      <t>St</t>
    </r>
    <r>
      <rPr>
        <sz val="9"/>
        <color theme="1"/>
        <rFont val="Arial"/>
        <family val="2"/>
      </rPr>
      <t xml:space="preserve"> = b (A</t>
    </r>
    <r>
      <rPr>
        <vertAlign val="subscript"/>
        <sz val="9"/>
        <rFont val="Arial"/>
        <family val="2"/>
      </rPr>
      <t>b</t>
    </r>
    <r>
      <rPr>
        <sz val="9"/>
        <color theme="1"/>
        <rFont val="Arial"/>
        <family val="2"/>
      </rPr>
      <t xml:space="preserve"> / s) =</t>
    </r>
  </si>
  <si>
    <r>
      <t>A</t>
    </r>
    <r>
      <rPr>
        <vertAlign val="subscript"/>
        <sz val="9"/>
        <rFont val="Arial"/>
        <family val="2"/>
      </rPr>
      <t>Sb</t>
    </r>
    <r>
      <rPr>
        <sz val="9"/>
        <color theme="1"/>
        <rFont val="Arial"/>
        <family val="2"/>
      </rPr>
      <t xml:space="preserve"> = b (A</t>
    </r>
    <r>
      <rPr>
        <vertAlign val="subscript"/>
        <sz val="9"/>
        <rFont val="Arial"/>
        <family val="2"/>
      </rPr>
      <t>b</t>
    </r>
    <r>
      <rPr>
        <sz val="9"/>
        <color theme="1"/>
        <rFont val="Arial"/>
        <family val="2"/>
      </rPr>
      <t xml:space="preserve"> / s) =</t>
    </r>
  </si>
  <si>
    <r>
      <t>Steel in each layer resisting tension A</t>
    </r>
    <r>
      <rPr>
        <vertAlign val="subscript"/>
        <sz val="9"/>
        <rFont val="Arial"/>
        <family val="2"/>
      </rPr>
      <t>ten</t>
    </r>
    <r>
      <rPr>
        <sz val="9"/>
        <color theme="1"/>
        <rFont val="Arial"/>
        <family val="2"/>
      </rPr>
      <t xml:space="preserve"> = T</t>
    </r>
    <r>
      <rPr>
        <vertAlign val="subscript"/>
        <sz val="9"/>
        <rFont val="Arial"/>
        <family val="2"/>
      </rPr>
      <t xml:space="preserve">axial </t>
    </r>
    <r>
      <rPr>
        <sz val="9"/>
        <rFont val="Arial"/>
        <family val="2"/>
      </rPr>
      <t>* 0.5 /</t>
    </r>
    <r>
      <rPr>
        <vertAlign val="subscript"/>
        <sz val="9"/>
        <rFont val="Arial"/>
        <family val="2"/>
      </rPr>
      <t xml:space="preserve"> </t>
    </r>
    <r>
      <rPr>
        <sz val="9"/>
        <color theme="1"/>
        <rFont val="Arial"/>
        <family val="2"/>
      </rPr>
      <t>F</t>
    </r>
    <r>
      <rPr>
        <vertAlign val="subscript"/>
        <sz val="9"/>
        <rFont val="Arial"/>
        <family val="2"/>
      </rPr>
      <t>y</t>
    </r>
    <r>
      <rPr>
        <sz val="9"/>
        <color theme="1"/>
        <rFont val="Arial"/>
        <family val="2"/>
      </rPr>
      <t xml:space="preserve"> =</t>
    </r>
  </si>
  <si>
    <r>
      <t>A</t>
    </r>
    <r>
      <rPr>
        <vertAlign val="subscript"/>
        <sz val="9"/>
        <color theme="1"/>
        <rFont val="Arial"/>
        <family val="2"/>
      </rPr>
      <t>st</t>
    </r>
    <r>
      <rPr>
        <sz val="9"/>
        <color theme="1"/>
        <rFont val="Arial"/>
        <family val="2"/>
      </rPr>
      <t xml:space="preserve"> - A</t>
    </r>
    <r>
      <rPr>
        <vertAlign val="subscript"/>
        <sz val="9"/>
        <color theme="1"/>
        <rFont val="Arial"/>
        <family val="2"/>
      </rPr>
      <t>ten</t>
    </r>
  </si>
  <si>
    <r>
      <t>d</t>
    </r>
    <r>
      <rPr>
        <vertAlign val="subscript"/>
        <sz val="9"/>
        <rFont val="Arial"/>
        <family val="2"/>
      </rPr>
      <t>S</t>
    </r>
    <r>
      <rPr>
        <sz val="9"/>
        <color theme="1"/>
        <rFont val="Arial"/>
        <family val="2"/>
      </rPr>
      <t xml:space="preserve"> = h</t>
    </r>
    <r>
      <rPr>
        <vertAlign val="subscript"/>
        <sz val="9"/>
        <rFont val="Arial"/>
        <family val="2"/>
      </rPr>
      <t>Design</t>
    </r>
    <r>
      <rPr>
        <sz val="9"/>
        <color theme="1"/>
        <rFont val="Arial"/>
        <family val="2"/>
      </rPr>
      <t xml:space="preserve"> - c</t>
    </r>
    <r>
      <rPr>
        <vertAlign val="subscript"/>
        <sz val="9"/>
        <rFont val="Arial"/>
        <family val="2"/>
      </rPr>
      <t xml:space="preserve">Top </t>
    </r>
    <r>
      <rPr>
        <sz val="9"/>
        <color theme="1"/>
        <rFont val="Arial"/>
        <family val="2"/>
      </rPr>
      <t>- 1/2 d</t>
    </r>
    <r>
      <rPr>
        <vertAlign val="subscript"/>
        <sz val="9"/>
        <rFont val="Arial"/>
        <family val="2"/>
      </rPr>
      <t>b</t>
    </r>
    <r>
      <rPr>
        <sz val="9"/>
        <color theme="1"/>
        <rFont val="Arial"/>
        <family val="2"/>
      </rPr>
      <t xml:space="preserve"> = </t>
    </r>
  </si>
  <si>
    <r>
      <rPr>
        <sz val="9"/>
        <rFont val="Arial"/>
        <family val="2"/>
      </rPr>
      <t xml:space="preserve">• </t>
    </r>
    <r>
      <rPr>
        <sz val="9"/>
        <color theme="1"/>
        <rFont val="Arial"/>
        <family val="2"/>
      </rPr>
      <t>Case 1 - Horizontal and longitudinal forces from vehicle collision load (Extreme Event II limit state)</t>
    </r>
  </si>
  <si>
    <r>
      <t>γ</t>
    </r>
    <r>
      <rPr>
        <vertAlign val="subscript"/>
        <sz val="9"/>
        <color theme="1"/>
        <rFont val="Arial"/>
        <family val="2"/>
      </rPr>
      <t>DC</t>
    </r>
  </si>
  <si>
    <r>
      <t>γ</t>
    </r>
    <r>
      <rPr>
        <vertAlign val="subscript"/>
        <sz val="9"/>
        <color theme="1"/>
        <rFont val="Arial"/>
        <family val="2"/>
      </rPr>
      <t>CT</t>
    </r>
  </si>
  <si>
    <r>
      <t>M</t>
    </r>
    <r>
      <rPr>
        <vertAlign val="subscript"/>
        <sz val="9"/>
        <color theme="1"/>
        <rFont val="Arial"/>
        <family val="2"/>
      </rPr>
      <t>DC-Add</t>
    </r>
    <r>
      <rPr>
        <sz val="9"/>
        <color theme="1"/>
        <rFont val="Arial"/>
        <family val="2"/>
      </rPr>
      <t xml:space="preserve"> =</t>
    </r>
  </si>
  <si>
    <r>
      <t>M</t>
    </r>
    <r>
      <rPr>
        <vertAlign val="subscript"/>
        <sz val="9"/>
        <color theme="1"/>
        <rFont val="Arial"/>
        <family val="2"/>
      </rPr>
      <t>DW-WS</t>
    </r>
    <r>
      <rPr>
        <sz val="9"/>
        <color theme="1"/>
        <rFont val="Arial"/>
        <family val="2"/>
      </rPr>
      <t xml:space="preserve"> =</t>
    </r>
  </si>
  <si>
    <r>
      <t>M</t>
    </r>
    <r>
      <rPr>
        <vertAlign val="subscript"/>
        <sz val="9"/>
        <color theme="1"/>
        <rFont val="Arial"/>
        <family val="2"/>
      </rPr>
      <t>LL</t>
    </r>
    <r>
      <rPr>
        <sz val="9"/>
        <color theme="1"/>
        <rFont val="Arial"/>
        <family val="2"/>
      </rPr>
      <t xml:space="preserve"> = </t>
    </r>
  </si>
  <si>
    <r>
      <t>Mu</t>
    </r>
    <r>
      <rPr>
        <vertAlign val="subscript"/>
        <sz val="9"/>
        <color theme="1"/>
        <rFont val="Arial"/>
        <family val="2"/>
      </rPr>
      <t>3</t>
    </r>
    <r>
      <rPr>
        <sz val="9"/>
        <color theme="1"/>
        <rFont val="Arial"/>
        <family val="2"/>
      </rPr>
      <t xml:space="preserve"> = 1.25M</t>
    </r>
    <r>
      <rPr>
        <vertAlign val="subscript"/>
        <sz val="9"/>
        <color theme="1"/>
        <rFont val="Arial"/>
        <family val="2"/>
      </rPr>
      <t>DC</t>
    </r>
    <r>
      <rPr>
        <sz val="9"/>
        <color theme="1"/>
        <rFont val="Arial"/>
        <family val="2"/>
      </rPr>
      <t>+1.50M</t>
    </r>
    <r>
      <rPr>
        <vertAlign val="subscript"/>
        <sz val="9"/>
        <color theme="1"/>
        <rFont val="Arial"/>
        <family val="2"/>
      </rPr>
      <t>DW</t>
    </r>
    <r>
      <rPr>
        <sz val="9"/>
        <color theme="1"/>
        <rFont val="Arial"/>
        <family val="2"/>
      </rPr>
      <t>+1.75m(M</t>
    </r>
    <r>
      <rPr>
        <vertAlign val="subscript"/>
        <sz val="9"/>
        <color theme="1"/>
        <rFont val="Arial"/>
        <family val="2"/>
      </rPr>
      <t>LL</t>
    </r>
    <r>
      <rPr>
        <sz val="9"/>
        <color theme="1"/>
        <rFont val="Arial"/>
        <family val="2"/>
      </rPr>
      <t>+IM) =</t>
    </r>
  </si>
  <si>
    <t>EXAMPLE 6.4 - OVERHANG DESIGN</t>
  </si>
  <si>
    <t>EXAMPLE 6.3 - BARRIER TYPE 7 STRENGTH DESIGN</t>
  </si>
  <si>
    <t>ksi (Concrete Class D compressive strength)</t>
  </si>
  <si>
    <t>ksi (Specified minimum yield strength of grade 60 steel)</t>
  </si>
  <si>
    <t>Resistance factor</t>
  </si>
  <si>
    <t>AASHTO T A13.2-1</t>
  </si>
  <si>
    <t>Barrier Dimensions</t>
  </si>
  <si>
    <t>Section1</t>
  </si>
  <si>
    <t xml:space="preserve">Section2 </t>
  </si>
  <si>
    <t>Section3</t>
  </si>
  <si>
    <t>Section top width</t>
  </si>
  <si>
    <t>Section bottom width</t>
  </si>
  <si>
    <t>Section height</t>
  </si>
  <si>
    <t>Center of gravity from back face</t>
  </si>
  <si>
    <t>BARRIER FLEXURAL CAPACITY</t>
  </si>
  <si>
    <t>Front face vertical 
reinforcement:</t>
  </si>
  <si>
    <t>Section 1</t>
  </si>
  <si>
    <t>Section 2</t>
  </si>
  <si>
    <t>Section 3</t>
  </si>
  <si>
    <t>area of steel per design strip</t>
  </si>
  <si>
    <t>average section width</t>
  </si>
  <si>
    <t>effective depth of design section</t>
  </si>
  <si>
    <t>b -</t>
  </si>
  <si>
    <t>width of design strip</t>
  </si>
  <si>
    <t>a -</t>
  </si>
  <si>
    <t>depth of equivalent stress block</t>
  </si>
  <si>
    <t>Front and back face horizontal reinforcement</t>
  </si>
  <si>
    <t>No. of Bars</t>
  </si>
  <si>
    <t>3. Rail resistance within a wall segment.</t>
  </si>
  <si>
    <t>AASHTO A13.3.1-2</t>
  </si>
  <si>
    <t xml:space="preserve">Additional flexural resistance at top of wall </t>
  </si>
  <si>
    <t>Nominal transverse load resistance</t>
  </si>
  <si>
    <t>Capacity Check</t>
  </si>
  <si>
    <t>BARRIER INTERFACE SHEAR CAPACITY</t>
  </si>
  <si>
    <t>AASHTO 5.7.4</t>
  </si>
  <si>
    <t>Interface width considered in shear transfer</t>
  </si>
  <si>
    <t>Interface length considered in shear transfer</t>
  </si>
  <si>
    <t>Shear contact area</t>
  </si>
  <si>
    <t>Shear reinforcement at front face</t>
  </si>
  <si>
    <t>Area of shear reinforcement</t>
  </si>
  <si>
    <t>AASHTO 5.7.4.2-1</t>
  </si>
  <si>
    <t>Permanent compression force from barrier weight (neglected)</t>
  </si>
  <si>
    <t>Pc =</t>
  </si>
  <si>
    <t>For concrete placed against clean concrete surface, free of laitance, but not intentionally roughened</t>
  </si>
  <si>
    <t>Cohesion factor</t>
  </si>
  <si>
    <t>AASHTO 5.7.4.4</t>
  </si>
  <si>
    <t>Friction factor</t>
  </si>
  <si>
    <t>Shear factor 1</t>
  </si>
  <si>
    <t>(Fraction of concrete strength available to resist interface shear)</t>
  </si>
  <si>
    <t>Shear factor 2</t>
  </si>
  <si>
    <t>ksi (Limiting interface shear resistance)</t>
  </si>
  <si>
    <t xml:space="preserve">kip </t>
  </si>
  <si>
    <t>AASHTO 5.7.4.3</t>
  </si>
  <si>
    <t>Factored Shear Resistance</t>
  </si>
  <si>
    <t>Shear force acting on the barrier per 1.00 ft. strip</t>
  </si>
  <si>
    <t>OVERHANG DESIGN DATA</t>
  </si>
  <si>
    <t>Barrier Type 7 satisfies all checks outlined in AASHTO LRFD Bridge Design Specifications Appendix 13. Use the following data for Deck overhang design when Barrier Type 7 is used (Test Level 4):</t>
  </si>
  <si>
    <t>AASHTO A13.4.2-1</t>
  </si>
  <si>
    <t>Axial Load Per Unit Length of the Deck</t>
  </si>
  <si>
    <t>Moment Capacity of the Barrier</t>
  </si>
  <si>
    <t>μ =</t>
  </si>
  <si>
    <t>φ =</t>
  </si>
  <si>
    <t>φVn =</t>
  </si>
  <si>
    <r>
      <rPr>
        <sz val="9"/>
        <rFont val="Arial"/>
        <family val="2"/>
      </rPr>
      <t>φ</t>
    </r>
    <r>
      <rPr>
        <sz val="9"/>
        <color theme="1"/>
        <rFont val="Arial"/>
        <family val="2"/>
      </rPr>
      <t xml:space="preserve"> =</t>
    </r>
  </si>
  <si>
    <r>
      <t>A</t>
    </r>
    <r>
      <rPr>
        <vertAlign val="subscript"/>
        <sz val="9"/>
        <rFont val="Arial"/>
        <family val="2"/>
      </rPr>
      <t xml:space="preserve">S
</t>
    </r>
    <r>
      <rPr>
        <sz val="9"/>
        <rFont val="Arial"/>
        <family val="2"/>
      </rPr>
      <t>(in.</t>
    </r>
    <r>
      <rPr>
        <vertAlign val="superscript"/>
        <sz val="9"/>
        <rFont val="Arial"/>
        <family val="2"/>
      </rPr>
      <t>2</t>
    </r>
    <r>
      <rPr>
        <sz val="9"/>
        <rFont val="Arial"/>
        <family val="2"/>
      </rPr>
      <t>)</t>
    </r>
  </si>
  <si>
    <r>
      <t>h</t>
    </r>
    <r>
      <rPr>
        <vertAlign val="subscript"/>
        <sz val="9"/>
        <rFont val="Arial"/>
        <family val="2"/>
      </rPr>
      <t xml:space="preserve">(avg)
</t>
    </r>
    <r>
      <rPr>
        <sz val="9"/>
        <rFont val="Arial"/>
        <family val="2"/>
      </rPr>
      <t>(in.)</t>
    </r>
  </si>
  <si>
    <r>
      <t>d</t>
    </r>
    <r>
      <rPr>
        <vertAlign val="subscript"/>
        <sz val="9"/>
        <rFont val="Arial"/>
        <family val="2"/>
      </rPr>
      <t xml:space="preserve">S
</t>
    </r>
    <r>
      <rPr>
        <sz val="9"/>
        <rFont val="Arial"/>
        <family val="2"/>
      </rPr>
      <t>(in.)</t>
    </r>
  </si>
  <si>
    <r>
      <t>b</t>
    </r>
    <r>
      <rPr>
        <vertAlign val="subscript"/>
        <sz val="9"/>
        <rFont val="Arial"/>
        <family val="2"/>
      </rPr>
      <t xml:space="preserve">
</t>
    </r>
    <r>
      <rPr>
        <sz val="9"/>
        <rFont val="Arial"/>
        <family val="2"/>
      </rPr>
      <t>(in.)</t>
    </r>
  </si>
  <si>
    <r>
      <t>a=A</t>
    </r>
    <r>
      <rPr>
        <vertAlign val="subscript"/>
        <sz val="9"/>
        <rFont val="Arial"/>
        <family val="2"/>
      </rPr>
      <t>S</t>
    </r>
    <r>
      <rPr>
        <sz val="9"/>
        <color theme="1"/>
        <rFont val="Arial"/>
        <family val="2"/>
      </rPr>
      <t>f</t>
    </r>
    <r>
      <rPr>
        <vertAlign val="subscript"/>
        <sz val="9"/>
        <rFont val="Arial"/>
        <family val="2"/>
      </rPr>
      <t>y</t>
    </r>
    <r>
      <rPr>
        <sz val="9"/>
        <color theme="1"/>
        <rFont val="Arial"/>
        <family val="2"/>
      </rPr>
      <t xml:space="preserve">/k
</t>
    </r>
    <r>
      <rPr>
        <sz val="9"/>
        <rFont val="Arial"/>
        <family val="2"/>
      </rPr>
      <t>(in.)</t>
    </r>
  </si>
  <si>
    <r>
      <rPr>
        <sz val="9"/>
        <rFont val="Arial"/>
        <family val="2"/>
      </rPr>
      <t>φ</t>
    </r>
    <r>
      <rPr>
        <sz val="9"/>
        <color theme="1"/>
        <rFont val="Arial"/>
        <family val="2"/>
      </rPr>
      <t>M</t>
    </r>
    <r>
      <rPr>
        <vertAlign val="subscript"/>
        <sz val="9"/>
        <rFont val="Arial"/>
        <family val="2"/>
      </rPr>
      <t>n</t>
    </r>
    <r>
      <rPr>
        <sz val="9"/>
        <color theme="1"/>
        <rFont val="Arial"/>
        <family val="2"/>
      </rPr>
      <t xml:space="preserve">
</t>
    </r>
    <r>
      <rPr>
        <sz val="9"/>
        <rFont val="Arial"/>
        <family val="2"/>
      </rPr>
      <t>(kip-ft.)</t>
    </r>
  </si>
  <si>
    <r>
      <t>M</t>
    </r>
    <r>
      <rPr>
        <vertAlign val="subscript"/>
        <sz val="9"/>
        <rFont val="Arial"/>
        <family val="2"/>
      </rPr>
      <t>C</t>
    </r>
    <r>
      <rPr>
        <sz val="9"/>
        <color theme="1"/>
        <rFont val="Arial"/>
        <family val="2"/>
      </rPr>
      <t xml:space="preserve">
</t>
    </r>
    <r>
      <rPr>
        <sz val="9"/>
        <rFont val="Arial"/>
        <family val="2"/>
      </rPr>
      <t>(kip-ft./ft.)</t>
    </r>
  </si>
  <si>
    <r>
      <t>Barrier M</t>
    </r>
    <r>
      <rPr>
        <vertAlign val="subscript"/>
        <sz val="9"/>
        <rFont val="Arial"/>
        <family val="2"/>
      </rPr>
      <t>C</t>
    </r>
    <r>
      <rPr>
        <sz val="9"/>
        <color theme="1"/>
        <rFont val="Arial"/>
        <family val="2"/>
      </rPr>
      <t xml:space="preserve"> =</t>
    </r>
  </si>
  <si>
    <r>
      <t>A</t>
    </r>
    <r>
      <rPr>
        <vertAlign val="subscript"/>
        <sz val="9"/>
        <rFont val="Arial"/>
        <family val="2"/>
      </rPr>
      <t>S</t>
    </r>
    <r>
      <rPr>
        <sz val="9"/>
        <color theme="1"/>
        <rFont val="Arial"/>
        <family val="2"/>
      </rPr>
      <t xml:space="preserve"> -</t>
    </r>
  </si>
  <si>
    <r>
      <t>h</t>
    </r>
    <r>
      <rPr>
        <vertAlign val="subscript"/>
        <sz val="9"/>
        <rFont val="Arial"/>
        <family val="2"/>
      </rPr>
      <t>(avg)</t>
    </r>
    <r>
      <rPr>
        <sz val="9"/>
        <color theme="1"/>
        <rFont val="Arial"/>
        <family val="2"/>
      </rPr>
      <t xml:space="preserve"> -</t>
    </r>
  </si>
  <si>
    <r>
      <t>d</t>
    </r>
    <r>
      <rPr>
        <vertAlign val="subscript"/>
        <sz val="9"/>
        <rFont val="Arial"/>
        <family val="2"/>
      </rPr>
      <t>S</t>
    </r>
    <r>
      <rPr>
        <sz val="9"/>
        <color theme="1"/>
        <rFont val="Arial"/>
        <family val="2"/>
      </rPr>
      <t xml:space="preserve"> -</t>
    </r>
  </si>
  <si>
    <r>
      <rPr>
        <sz val="9"/>
        <rFont val="Arial"/>
        <family val="2"/>
      </rPr>
      <t>φ</t>
    </r>
    <r>
      <rPr>
        <sz val="9"/>
        <color theme="1"/>
        <rFont val="Arial"/>
        <family val="2"/>
      </rPr>
      <t>M</t>
    </r>
    <r>
      <rPr>
        <vertAlign val="subscript"/>
        <sz val="9"/>
        <rFont val="Arial"/>
        <family val="2"/>
      </rPr>
      <t>W</t>
    </r>
    <r>
      <rPr>
        <sz val="9"/>
        <color theme="1"/>
        <rFont val="Arial"/>
        <family val="2"/>
      </rPr>
      <t xml:space="preserve">
</t>
    </r>
    <r>
      <rPr>
        <sz val="9"/>
        <rFont val="Arial"/>
        <family val="2"/>
      </rPr>
      <t>(kip-ft.)</t>
    </r>
  </si>
  <si>
    <r>
      <t>Barrier M</t>
    </r>
    <r>
      <rPr>
        <vertAlign val="subscript"/>
        <sz val="9"/>
        <rFont val="Arial"/>
        <family val="2"/>
      </rPr>
      <t>W</t>
    </r>
    <r>
      <rPr>
        <sz val="9"/>
        <color theme="1"/>
        <rFont val="Arial"/>
        <family val="2"/>
      </rPr>
      <t xml:space="preserve"> =</t>
    </r>
  </si>
  <si>
    <r>
      <t>M</t>
    </r>
    <r>
      <rPr>
        <vertAlign val="subscript"/>
        <sz val="9"/>
        <rFont val="Arial"/>
        <family val="2"/>
      </rPr>
      <t>b</t>
    </r>
    <r>
      <rPr>
        <sz val="9"/>
        <color theme="1"/>
        <rFont val="Arial"/>
        <family val="2"/>
      </rPr>
      <t xml:space="preserve"> =</t>
    </r>
  </si>
  <si>
    <r>
      <t>R</t>
    </r>
    <r>
      <rPr>
        <vertAlign val="subscript"/>
        <sz val="9"/>
        <rFont val="Arial"/>
        <family val="2"/>
      </rPr>
      <t>W</t>
    </r>
    <r>
      <rPr>
        <sz val="9"/>
        <color theme="1"/>
        <rFont val="Arial"/>
        <family val="2"/>
      </rPr>
      <t xml:space="preserve"> =</t>
    </r>
  </si>
  <si>
    <r>
      <t>Check R</t>
    </r>
    <r>
      <rPr>
        <vertAlign val="subscript"/>
        <sz val="9"/>
        <color theme="1"/>
        <rFont val="Arial"/>
        <family val="2"/>
      </rPr>
      <t>W</t>
    </r>
    <r>
      <rPr>
        <sz val="9"/>
        <color theme="1"/>
        <rFont val="Arial"/>
        <family val="2"/>
      </rPr>
      <t xml:space="preserve"> &gt; F</t>
    </r>
    <r>
      <rPr>
        <vertAlign val="subscript"/>
        <sz val="9"/>
        <color theme="1"/>
        <rFont val="Arial"/>
        <family val="2"/>
      </rPr>
      <t>t</t>
    </r>
    <r>
      <rPr>
        <sz val="9"/>
        <color theme="1"/>
        <rFont val="Arial"/>
        <family val="2"/>
      </rPr>
      <t xml:space="preserve"> :</t>
    </r>
  </si>
  <si>
    <r>
      <t>Evaluate the shear capacity of the cold joint to transfer nominal resistance R</t>
    </r>
    <r>
      <rPr>
        <vertAlign val="subscript"/>
        <sz val="9"/>
        <rFont val="Arial"/>
        <family val="2"/>
      </rPr>
      <t>W</t>
    </r>
    <r>
      <rPr>
        <sz val="9"/>
        <color theme="1"/>
        <rFont val="Arial"/>
        <family val="2"/>
      </rPr>
      <t xml:space="preserve"> between the deck and railing. Neglect effects of barrier Dead Load and assume that the surface of the deck is not roughened.</t>
    </r>
  </si>
  <si>
    <r>
      <t>b</t>
    </r>
    <r>
      <rPr>
        <vertAlign val="subscript"/>
        <sz val="9"/>
        <rFont val="Arial"/>
        <family val="2"/>
      </rPr>
      <t>V</t>
    </r>
    <r>
      <rPr>
        <sz val="9"/>
        <color theme="1"/>
        <rFont val="Arial"/>
        <family val="2"/>
      </rPr>
      <t>=</t>
    </r>
  </si>
  <si>
    <r>
      <t>A</t>
    </r>
    <r>
      <rPr>
        <vertAlign val="subscript"/>
        <sz val="9"/>
        <rFont val="Arial"/>
        <family val="2"/>
      </rPr>
      <t>CV</t>
    </r>
    <r>
      <rPr>
        <sz val="9"/>
        <color theme="1"/>
        <rFont val="Arial"/>
        <family val="2"/>
      </rPr>
      <t xml:space="preserve"> = b</t>
    </r>
    <r>
      <rPr>
        <vertAlign val="subscript"/>
        <sz val="9"/>
        <rFont val="Arial"/>
        <family val="2"/>
      </rPr>
      <t>V</t>
    </r>
    <r>
      <rPr>
        <sz val="9"/>
        <color theme="1"/>
        <rFont val="Arial"/>
        <family val="2"/>
      </rPr>
      <t xml:space="preserve"> L</t>
    </r>
    <r>
      <rPr>
        <vertAlign val="subscript"/>
        <sz val="9"/>
        <rFont val="Arial"/>
        <family val="2"/>
      </rPr>
      <t>V</t>
    </r>
    <r>
      <rPr>
        <sz val="9"/>
        <color theme="1"/>
        <rFont val="Arial"/>
        <family val="2"/>
      </rPr>
      <t xml:space="preserve"> =</t>
    </r>
  </si>
  <si>
    <r>
      <t>A</t>
    </r>
    <r>
      <rPr>
        <vertAlign val="subscript"/>
        <sz val="9"/>
        <rFont val="Arial"/>
        <family val="2"/>
      </rPr>
      <t>VF</t>
    </r>
    <r>
      <rPr>
        <sz val="9"/>
        <color theme="1"/>
        <rFont val="Arial"/>
        <family val="2"/>
      </rPr>
      <t xml:space="preserve"> = </t>
    </r>
  </si>
  <si>
    <r>
      <t>K</t>
    </r>
    <r>
      <rPr>
        <vertAlign val="subscript"/>
        <sz val="9"/>
        <color theme="1"/>
        <rFont val="Arial"/>
        <family val="2"/>
      </rPr>
      <t>1</t>
    </r>
    <r>
      <rPr>
        <sz val="9"/>
        <color theme="1"/>
        <rFont val="Arial"/>
        <family val="2"/>
      </rPr>
      <t xml:space="preserve"> =</t>
    </r>
  </si>
  <si>
    <r>
      <t>K</t>
    </r>
    <r>
      <rPr>
        <vertAlign val="subscript"/>
        <sz val="9"/>
        <color theme="1"/>
        <rFont val="Arial"/>
        <family val="2"/>
      </rPr>
      <t>2</t>
    </r>
    <r>
      <rPr>
        <sz val="9"/>
        <color theme="1"/>
        <rFont val="Arial"/>
        <family val="2"/>
      </rPr>
      <t xml:space="preserve"> =</t>
    </r>
  </si>
  <si>
    <r>
      <t>V</t>
    </r>
    <r>
      <rPr>
        <vertAlign val="subscript"/>
        <sz val="9"/>
        <rFont val="Arial"/>
        <family val="2"/>
      </rPr>
      <t>n</t>
    </r>
    <r>
      <rPr>
        <sz val="9"/>
        <color theme="1"/>
        <rFont val="Arial"/>
        <family val="2"/>
      </rPr>
      <t xml:space="preserve"> = min</t>
    </r>
  </si>
  <si>
    <r>
      <t>Check φV</t>
    </r>
    <r>
      <rPr>
        <vertAlign val="subscript"/>
        <sz val="9"/>
        <color theme="1"/>
        <rFont val="Arial"/>
        <family val="2"/>
      </rPr>
      <t>n</t>
    </r>
    <r>
      <rPr>
        <sz val="9"/>
        <color theme="1"/>
        <rFont val="Arial"/>
        <family val="2"/>
      </rPr>
      <t xml:space="preserve"> &gt; V</t>
    </r>
    <r>
      <rPr>
        <vertAlign val="subscript"/>
        <sz val="9"/>
        <color theme="1"/>
        <rFont val="Arial"/>
        <family val="2"/>
      </rPr>
      <t xml:space="preserve">u </t>
    </r>
    <r>
      <rPr>
        <sz val="9"/>
        <color theme="1"/>
        <rFont val="Arial"/>
        <family val="2"/>
      </rPr>
      <t>:</t>
    </r>
  </si>
  <si>
    <r>
      <t>T</t>
    </r>
    <r>
      <rPr>
        <vertAlign val="subscript"/>
        <sz val="9"/>
        <rFont val="Arial"/>
        <family val="2"/>
      </rPr>
      <t>Axial</t>
    </r>
    <r>
      <rPr>
        <sz val="9"/>
        <color theme="1"/>
        <rFont val="Arial"/>
        <family val="2"/>
      </rPr>
      <t xml:space="preserve"> = R</t>
    </r>
    <r>
      <rPr>
        <vertAlign val="subscript"/>
        <sz val="9"/>
        <rFont val="Arial"/>
        <family val="2"/>
      </rPr>
      <t>W</t>
    </r>
    <r>
      <rPr>
        <sz val="9"/>
        <color theme="1"/>
        <rFont val="Arial"/>
        <family val="2"/>
      </rPr>
      <t xml:space="preserve"> /(L</t>
    </r>
    <r>
      <rPr>
        <vertAlign val="subscript"/>
        <sz val="9"/>
        <rFont val="Arial"/>
        <family val="2"/>
      </rPr>
      <t>C</t>
    </r>
    <r>
      <rPr>
        <sz val="9"/>
        <color theme="1"/>
        <rFont val="Arial"/>
        <family val="2"/>
      </rPr>
      <t xml:space="preserve"> + 2H</t>
    </r>
    <r>
      <rPr>
        <vertAlign val="subscript"/>
        <sz val="9"/>
        <rFont val="Arial"/>
        <family val="2"/>
      </rPr>
      <t>B</t>
    </r>
    <r>
      <rPr>
        <sz val="9"/>
        <color theme="1"/>
        <rFont val="Arial"/>
        <family val="2"/>
      </rPr>
      <t>)</t>
    </r>
  </si>
  <si>
    <r>
      <t>1. Determine M</t>
    </r>
    <r>
      <rPr>
        <i/>
        <vertAlign val="subscript"/>
        <sz val="9"/>
        <color theme="1"/>
        <rFont val="Arial"/>
        <family val="2"/>
      </rPr>
      <t>C</t>
    </r>
    <r>
      <rPr>
        <i/>
        <sz val="9"/>
        <color theme="1"/>
        <rFont val="Arial"/>
        <family val="2"/>
      </rPr>
      <t>: flexural resistance of cantilevered parapet about an axis parallel to the longitudinal axis of the bridge. Flexural moment resistance is based on the vertical reinforcement in the barrier.</t>
    </r>
  </si>
  <si>
    <r>
      <t>k= .85f'</t>
    </r>
    <r>
      <rPr>
        <vertAlign val="subscript"/>
        <sz val="9"/>
        <rFont val="Arial"/>
        <family val="2"/>
      </rPr>
      <t>C</t>
    </r>
    <r>
      <rPr>
        <sz val="9"/>
        <color theme="1"/>
        <rFont val="Arial"/>
        <family val="2"/>
      </rPr>
      <t>b</t>
    </r>
  </si>
  <si>
    <r>
      <t>2. Determine M</t>
    </r>
    <r>
      <rPr>
        <i/>
        <vertAlign val="subscript"/>
        <sz val="9"/>
        <color theme="1"/>
        <rFont val="Arial"/>
        <family val="2"/>
      </rPr>
      <t>W</t>
    </r>
    <r>
      <rPr>
        <i/>
        <sz val="9"/>
        <color theme="1"/>
        <rFont val="Arial"/>
        <family val="2"/>
      </rPr>
      <t>: flexural resistance of the parapet about its vertical axis.</t>
    </r>
  </si>
  <si>
    <r>
      <t>in.</t>
    </r>
    <r>
      <rPr>
        <vertAlign val="superscript"/>
        <sz val="8"/>
        <color theme="1"/>
        <rFont val="Arial"/>
        <family val="2"/>
      </rPr>
      <t>2</t>
    </r>
  </si>
  <si>
    <r>
      <t>in.</t>
    </r>
    <r>
      <rPr>
        <vertAlign val="superscript"/>
        <sz val="8"/>
        <color theme="1"/>
        <rFont val="Arial"/>
        <family val="2"/>
      </rPr>
      <t>2</t>
    </r>
    <r>
      <rPr>
        <sz val="8"/>
        <color theme="1"/>
        <rFont val="Arial"/>
        <family val="2"/>
      </rPr>
      <t>/ft.</t>
    </r>
  </si>
  <si>
    <r>
      <t>M</t>
    </r>
    <r>
      <rPr>
        <vertAlign val="subscript"/>
        <sz val="9"/>
        <color theme="1"/>
        <rFont val="Arial"/>
        <family val="2"/>
      </rPr>
      <t>c</t>
    </r>
    <r>
      <rPr>
        <sz val="9"/>
        <color theme="1"/>
        <rFont val="Arial"/>
        <family val="2"/>
      </rPr>
      <t xml:space="preserve"> =</t>
    </r>
  </si>
  <si>
    <t xml:space="preserve">The CDOT Bridge Rail Type 7 design follows the AASHTO LRFD Bridge Design Specifications A13.3.1 design procedure for concrete railings, using strength design for reinforced concrete. Although the Type 7 is not an accepted bridge rail for new bridges (retired), the design methodology is similar to what would be done for the new Type 9 Bridge Rail. The following calculations show case of impact within barrier segment, assuming that barrier will be extended past the limits of the bridge. For cases concerning impact at end of the barrier, refer to AASHTO Appendix A13. </t>
  </si>
  <si>
    <t>Description</t>
  </si>
  <si>
    <t>Tubes 6 x 6 x 1/4</t>
  </si>
  <si>
    <t>Unit wt lb/ft</t>
  </si>
  <si>
    <t>Distance from deck out (in.)</t>
  </si>
  <si>
    <t>Length (ft)</t>
  </si>
  <si>
    <t>Number</t>
  </si>
  <si>
    <t>Wx lb-in.</t>
  </si>
  <si>
    <t>Post W6 x 20</t>
  </si>
  <si>
    <t>Weight lb</t>
  </si>
  <si>
    <t>Total</t>
  </si>
  <si>
    <t>CG from deck out =</t>
  </si>
  <si>
    <t>(Ignore self weight)</t>
  </si>
  <si>
    <r>
      <t>Designing deck overhang for strength &gt; strength of rails and curb is conservative. Therefore, design only for maximum MASH F</t>
    </r>
    <r>
      <rPr>
        <vertAlign val="subscript"/>
        <sz val="9"/>
        <color theme="1"/>
        <rFont val="Arial"/>
        <family val="2"/>
      </rPr>
      <t>t</t>
    </r>
    <r>
      <rPr>
        <sz val="9"/>
        <color theme="1"/>
        <rFont val="Arial"/>
        <family val="2"/>
      </rPr>
      <t xml:space="preserve"> loads. Assume the rails fail during impact and curb resists the remaining load.</t>
    </r>
  </si>
  <si>
    <r>
      <t>γ</t>
    </r>
    <r>
      <rPr>
        <vertAlign val="subscript"/>
        <sz val="9"/>
        <color theme="1"/>
        <rFont val="Arial"/>
        <family val="2"/>
      </rPr>
      <t>LL</t>
    </r>
  </si>
  <si>
    <t>AASHTO T3.4.1-1</t>
  </si>
  <si>
    <t>Controlling Load Combinations</t>
  </si>
  <si>
    <t>The deck overhang is designed to resist an axial tension force and moment from vehicular collision (CT) acting simultaneously with the Dead Load (DC/DW) and Live Load (LL) moment. The critical section shall be taken at the face of the box girder (AASHTO 4.6.2.1.6). In addition, Extreme Event II combination is also checked at the face of the curb. Loads are be assumed to be distributed at a 45 degree angle starting from the base plate.</t>
  </si>
  <si>
    <t>Lever arm for vertical collision</t>
  </si>
  <si>
    <t>DESIGN CASE 1: Extreme Event II (Transverse Collision) at the face of the curb</t>
  </si>
  <si>
    <t>DESIGN CASE 2: Extreme Event II (Vertical Collision) at the face of the curb</t>
  </si>
  <si>
    <t>DESIGN CASE 3: STRENGTH I (At the face of the girder)</t>
  </si>
  <si>
    <t>Vertical and Longitudinal collision cases will not control generally and so other critical sections are not included.</t>
  </si>
  <si>
    <t xml:space="preserve">The overhang is designed to resist gravity forces from the Dead Load of structural components and attachments to the cantilever, as well as a concentrated Live Load positioned 12.00 in. from the face of the barrier. </t>
  </si>
  <si>
    <t>Design Summary</t>
  </si>
  <si>
    <t>(By observation, other load cases will not control and are not included in this example)</t>
  </si>
  <si>
    <t>CY/ft</t>
  </si>
  <si>
    <t>Note:</t>
  </si>
  <si>
    <t>This example does not use MASH loads.</t>
  </si>
  <si>
    <t>EXAMPLE 6.3 - BARRIER TYPE 9 STRENGTH DESIGN</t>
  </si>
  <si>
    <t xml:space="preserve">ksi </t>
  </si>
  <si>
    <r>
      <t>h</t>
    </r>
    <r>
      <rPr>
        <vertAlign val="subscript"/>
        <sz val="9"/>
        <rFont val="Arial"/>
        <family val="2"/>
      </rPr>
      <t xml:space="preserve">
</t>
    </r>
    <r>
      <rPr>
        <sz val="9"/>
        <rFont val="Arial"/>
        <family val="2"/>
      </rPr>
      <t>(in.)</t>
    </r>
  </si>
  <si>
    <r>
      <t>b</t>
    </r>
    <r>
      <rPr>
        <vertAlign val="subscript"/>
        <sz val="9"/>
        <color theme="1"/>
        <rFont val="Arial"/>
        <family val="2"/>
      </rPr>
      <t>c</t>
    </r>
    <r>
      <rPr>
        <vertAlign val="subscript"/>
        <sz val="9"/>
        <rFont val="Arial"/>
        <family val="2"/>
      </rPr>
      <t xml:space="preserve">
</t>
    </r>
    <r>
      <rPr>
        <sz val="9"/>
        <rFont val="Arial"/>
        <family val="2"/>
      </rPr>
      <t>(in.)</t>
    </r>
  </si>
  <si>
    <t>Back face horizontal reinforcement</t>
  </si>
  <si>
    <r>
      <t>A</t>
    </r>
    <r>
      <rPr>
        <vertAlign val="subscript"/>
        <sz val="9"/>
        <rFont val="Arial"/>
        <family val="2"/>
      </rPr>
      <t>S</t>
    </r>
  </si>
  <si>
    <t>h</t>
  </si>
  <si>
    <r>
      <t>d</t>
    </r>
    <r>
      <rPr>
        <vertAlign val="subscript"/>
        <sz val="9"/>
        <rFont val="Arial"/>
        <family val="2"/>
      </rPr>
      <t>S</t>
    </r>
  </si>
  <si>
    <r>
      <t>b</t>
    </r>
    <r>
      <rPr>
        <vertAlign val="subscript"/>
        <sz val="9"/>
        <color theme="1"/>
        <rFont val="Arial"/>
        <family val="2"/>
      </rPr>
      <t>c</t>
    </r>
  </si>
  <si>
    <t>a</t>
  </si>
  <si>
    <t>- area of steel per design strip</t>
  </si>
  <si>
    <t>- section height</t>
  </si>
  <si>
    <t>- effective depth of design section</t>
  </si>
  <si>
    <t>- width of design strip (taken as 1 ft per AASHTO Section 13)</t>
  </si>
  <si>
    <t>- depth of equivalent stress block</t>
  </si>
  <si>
    <r>
      <t>k= .85f'</t>
    </r>
    <r>
      <rPr>
        <vertAlign val="subscript"/>
        <sz val="9"/>
        <rFont val="Arial"/>
        <family val="2"/>
      </rPr>
      <t>C</t>
    </r>
    <r>
      <rPr>
        <sz val="9"/>
        <color theme="1"/>
        <rFont val="Arial"/>
        <family val="2"/>
      </rPr>
      <t>h</t>
    </r>
  </si>
  <si>
    <t>Sec. 1</t>
  </si>
  <si>
    <t>Sec. 2</t>
  </si>
  <si>
    <t>Sec. 3</t>
  </si>
  <si>
    <r>
      <t>1. Determine M</t>
    </r>
    <r>
      <rPr>
        <i/>
        <vertAlign val="subscript"/>
        <sz val="9"/>
        <color theme="1"/>
        <rFont val="Arial"/>
        <family val="2"/>
      </rPr>
      <t>C</t>
    </r>
    <r>
      <rPr>
        <i/>
        <sz val="9"/>
        <color theme="1"/>
        <rFont val="Arial"/>
        <family val="2"/>
      </rPr>
      <t xml:space="preserve">: flexural resistance of cantilevered parapet about an axis parallel to the longitudinal axis of the bridge at midspan. </t>
    </r>
  </si>
  <si>
    <t>Sec. 4</t>
  </si>
  <si>
    <t>Section 4</t>
  </si>
  <si>
    <r>
      <t>d</t>
    </r>
    <r>
      <rPr>
        <vertAlign val="subscript"/>
        <sz val="9"/>
        <color theme="1"/>
        <rFont val="Arial"/>
        <family val="2"/>
      </rPr>
      <t>avg</t>
    </r>
    <r>
      <rPr>
        <vertAlign val="subscript"/>
        <sz val="9"/>
        <rFont val="Arial"/>
        <family val="2"/>
      </rPr>
      <t xml:space="preserve">
</t>
    </r>
    <r>
      <rPr>
        <sz val="9"/>
        <rFont val="Arial"/>
        <family val="2"/>
      </rPr>
      <t>(in.)</t>
    </r>
  </si>
  <si>
    <r>
      <t>d</t>
    </r>
    <r>
      <rPr>
        <vertAlign val="subscript"/>
        <sz val="9"/>
        <color theme="1"/>
        <rFont val="Arial"/>
        <family val="2"/>
      </rPr>
      <t>avg</t>
    </r>
  </si>
  <si>
    <t>- average section width</t>
  </si>
  <si>
    <r>
      <t>Barrier M</t>
    </r>
    <r>
      <rPr>
        <vertAlign val="subscript"/>
        <sz val="9"/>
        <rFont val="Arial"/>
        <family val="2"/>
      </rPr>
      <t>C</t>
    </r>
    <r>
      <rPr>
        <sz val="9"/>
        <color theme="1"/>
        <rFont val="Arial"/>
        <family val="2"/>
      </rPr>
      <t xml:space="preserve"> (Bar A) =</t>
    </r>
  </si>
  <si>
    <t>1st vertical rebar (Bar A)</t>
  </si>
  <si>
    <t>2nd vertical rebar (Bar B)</t>
  </si>
  <si>
    <r>
      <t>Barrier M</t>
    </r>
    <r>
      <rPr>
        <vertAlign val="subscript"/>
        <sz val="9"/>
        <rFont val="Arial"/>
        <family val="2"/>
      </rPr>
      <t>C</t>
    </r>
    <r>
      <rPr>
        <sz val="9"/>
        <color theme="1"/>
        <rFont val="Arial"/>
        <family val="2"/>
      </rPr>
      <t xml:space="preserve"> (Bar B) =</t>
    </r>
  </si>
  <si>
    <r>
      <t>Barrier M</t>
    </r>
    <r>
      <rPr>
        <vertAlign val="subscript"/>
        <sz val="9"/>
        <rFont val="Arial"/>
        <family val="2"/>
      </rPr>
      <t>C</t>
    </r>
    <r>
      <rPr>
        <sz val="9"/>
        <color theme="1"/>
        <rFont val="Arial"/>
        <family val="2"/>
      </rPr>
      <t xml:space="preserve"> (Bar C) =</t>
    </r>
  </si>
  <si>
    <r>
      <t>Grand Total Barrier M</t>
    </r>
    <r>
      <rPr>
        <vertAlign val="subscript"/>
        <sz val="9"/>
        <rFont val="Arial"/>
        <family val="2"/>
      </rPr>
      <t>C</t>
    </r>
    <r>
      <rPr>
        <sz val="9"/>
        <color theme="1"/>
        <rFont val="Arial"/>
        <family val="2"/>
      </rPr>
      <t xml:space="preserve"> =</t>
    </r>
  </si>
  <si>
    <t>3rd vertical rebar (Bar C)</t>
  </si>
  <si>
    <t>Check tensile stress at service limit state doesn't exceed 0.60fy</t>
  </si>
  <si>
    <t>fss=</t>
  </si>
  <si>
    <t>0.60 fy=</t>
  </si>
  <si>
    <t>Base Pl 10.5 x 12 x 3/4</t>
  </si>
  <si>
    <t>BARRIER TYPE 10MASH CENTER OF GRAVITY (Steel Only)</t>
  </si>
  <si>
    <t>Hook in Tension Dev. Length, ldh (in)</t>
  </si>
  <si>
    <t>Tension Lap Splice Lengths (in)</t>
  </si>
  <si>
    <t>Class A = 1.0*ld</t>
  </si>
  <si>
    <t>Class B = 1.3*ld</t>
  </si>
  <si>
    <t>N/A</t>
  </si>
  <si>
    <t>MASH</t>
  </si>
  <si>
    <r>
      <t>2. Determine M</t>
    </r>
    <r>
      <rPr>
        <i/>
        <vertAlign val="subscript"/>
        <sz val="9"/>
        <color theme="1"/>
        <rFont val="Arial"/>
        <family val="2"/>
      </rPr>
      <t>C</t>
    </r>
    <r>
      <rPr>
        <i/>
        <sz val="9"/>
        <color theme="1"/>
        <rFont val="Arial"/>
        <family val="2"/>
      </rPr>
      <t>: flexural resistance of cantilevered parapet about an axis parallel to the longitudinal 
   axis of the bridge. Flexural moment resistance is based on the vertical reinforcement in the barrier.</t>
    </r>
  </si>
  <si>
    <t>Avg</t>
  </si>
  <si>
    <t>with Development length factor</t>
  </si>
  <si>
    <t>of</t>
  </si>
  <si>
    <t>The straight bar development length is</t>
  </si>
  <si>
    <t>For a hooked # 4 bar, the basic development length lhb with modification factors is:</t>
  </si>
  <si>
    <t>Therefore, the benefit derived from the hook is:</t>
  </si>
  <si>
    <t>The bar is hooked with a vertical embedment:</t>
  </si>
  <si>
    <t xml:space="preserve">Then the development fraction is: </t>
  </si>
  <si>
    <t xml:space="preserve">Development length factor = </t>
  </si>
  <si>
    <t>&gt;</t>
  </si>
  <si>
    <t>Kips</t>
  </si>
  <si>
    <t>SUMMARY</t>
  </si>
  <si>
    <t>Impact at post controls the design as the transfer width is narrower than the impact between posts</t>
  </si>
  <si>
    <t>nTubes =</t>
  </si>
  <si>
    <t>Mn=Mp=FyZ (F7-1 AISC Manual)</t>
  </si>
  <si>
    <t>The TL-4 maximum capacity of Type 10 MASH is shown for overhang example.</t>
  </si>
  <si>
    <r>
      <t>Barrier Type 9 satisfies all checks outlined in AASHTO LRFD Bridge Design Specifications Appendix 13. Use the following data for Deck overhang design</t>
    </r>
    <r>
      <rPr>
        <sz val="9"/>
        <rFont val="Arial"/>
        <family val="2"/>
      </rPr>
      <t xml:space="preserve"> at the front face of the curb</t>
    </r>
    <r>
      <rPr>
        <sz val="9"/>
        <color theme="1"/>
        <rFont val="Arial"/>
        <family val="2"/>
      </rPr>
      <t xml:space="preserve"> when Barrier Type 9 is used (Test Level 4):</t>
    </r>
  </si>
  <si>
    <t>Use the following data for Deck overhang design at the front face of the curb (Test Level 4):</t>
  </si>
  <si>
    <t>Concrete cover (For SS rebars)</t>
  </si>
  <si>
    <t>of methods</t>
  </si>
  <si>
    <t>It can be dealt with in a variety</t>
  </si>
  <si>
    <t>reinforcement should be considered.</t>
  </si>
  <si>
    <t>Development length of transverse</t>
  </si>
  <si>
    <r>
      <t>The CDOT Bridge Rail Type 9 design follows the AASHTO LRFD Bridge Design Specifications A13.3.1 design procedure for concrete railings, using strength design for reinforced concrete. The following calculations show case of impact within barrier segment, assuming that barrier will be extended past the limits of the bridge. For cases concerning impact at end of the barrier, refer to AASHTO Appendix A13. The applied design force (F</t>
    </r>
    <r>
      <rPr>
        <vertAlign val="subscript"/>
        <sz val="9"/>
        <color theme="1"/>
        <rFont val="Arial"/>
        <family val="2"/>
      </rPr>
      <t>t</t>
    </r>
    <r>
      <rPr>
        <sz val="9"/>
        <color theme="1"/>
        <rFont val="Arial"/>
        <family val="2"/>
      </rPr>
      <t>) and the longitudinal length of distribution of the impact force (L</t>
    </r>
    <r>
      <rPr>
        <vertAlign val="subscript"/>
        <sz val="9"/>
        <color theme="1"/>
        <rFont val="Arial"/>
        <family val="2"/>
      </rPr>
      <t>t</t>
    </r>
    <r>
      <rPr>
        <sz val="9"/>
        <color theme="1"/>
        <rFont val="Arial"/>
        <family val="2"/>
      </rPr>
      <t xml:space="preserve">) in this example is  from the research conducted under NCHRP Project 22-20(2). </t>
    </r>
    <r>
      <rPr>
        <b/>
        <sz val="9"/>
        <color theme="1"/>
        <rFont val="Arial"/>
        <family val="2"/>
      </rPr>
      <t>The TL-4 maximum capacity of Type 9 is shown for overhang example.</t>
    </r>
  </si>
  <si>
    <t>where</t>
  </si>
  <si>
    <r>
      <t>Effective thickness 0.707*t</t>
    </r>
    <r>
      <rPr>
        <vertAlign val="subscript"/>
        <sz val="9"/>
        <color theme="1"/>
        <rFont val="Arial"/>
        <family val="2"/>
      </rPr>
      <t>weld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</si>
</sst>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quot;#&quot;\ 0"/>
    <numFmt numFmtId="167" formatCode="0.00\ &quot;in&quot;"/>
    <numFmt numFmtId="168" formatCode="0.00\ &quot;in.&quot;"/>
    <numFmt numFmtId="169" formatCode="&quot;#&quot;\ 0\ &quot;   @&quot;"/>
    <numFmt numFmtId="170" formatCode="0\ &quot;in.&quot;"/>
    <numFmt numFmtId="171" formatCode="0.00\ &quot;ksi&quot;"/>
    <numFmt numFmtId="172" formatCode="0\ &quot;ksi&quot;"/>
  </numFmts>
  <fonts count="28">
    <font>
      <sz val="11"/>
      <color theme="1"/>
      <name val="Calibri"/>
      <family val="2"/>
      <scheme val="minor"/>
    </font>
    <font>
      <sz val="10"/>
      <name val="Times New Roman"/>
      <family val="1"/>
    </font>
    <font>
      <sz val="8"/>
      <name val="Arial"/>
      <family val="2"/>
    </font>
    <font>
      <i/>
      <sz val="10"/>
      <name val="Arial"/>
      <family val="2"/>
    </font>
    <font>
      <b/>
      <sz val="11"/>
      <color theme="1"/>
      <name val="Calibri"/>
      <family val="2"/>
      <scheme val="minor"/>
    </font>
    <font>
      <sz val="11"/>
      <color theme="1"/>
      <name val="Calibri"/>
      <family val="2"/>
      <scheme val="minor"/>
    </font>
    <font>
      <b/>
      <sz val="10"/>
      <color theme="1"/>
      <name val="Arial"/>
      <family val="2"/>
    </font>
    <font>
      <b/>
      <sz val="9"/>
      <color theme="1"/>
      <name val="Arial"/>
      <family val="2"/>
    </font>
    <font>
      <sz val="9"/>
      <color theme="1"/>
      <name val="Arial"/>
      <family val="2"/>
    </font>
    <font>
      <sz val="9"/>
      <color theme="1"/>
      <name val="Calibri"/>
      <family val="2"/>
      <scheme val="minor"/>
    </font>
    <font>
      <vertAlign val="subscript"/>
      <sz val="9"/>
      <color theme="1"/>
      <name val="Arial"/>
      <family val="2"/>
    </font>
    <font>
      <sz val="9"/>
      <name val="Arial"/>
      <family val="2"/>
    </font>
    <font>
      <vertAlign val="subscript"/>
      <sz val="9"/>
      <name val="Arial"/>
      <family val="2"/>
    </font>
    <font>
      <vertAlign val="superscript"/>
      <sz val="9"/>
      <color theme="1"/>
      <name val="Arial"/>
      <family val="2"/>
    </font>
    <font>
      <i/>
      <u/>
      <sz val="9"/>
      <color theme="1"/>
      <name val="Arial"/>
      <family val="2"/>
    </font>
    <font>
      <b/>
      <sz val="12"/>
      <color theme="1"/>
      <name val="Arial"/>
      <family val="2"/>
    </font>
    <font>
      <u/>
      <sz val="9"/>
      <color theme="1"/>
      <name val="Arial"/>
      <family val="2"/>
    </font>
    <font>
      <i/>
      <sz val="9"/>
      <color theme="1"/>
      <name val="Arial"/>
      <family val="2"/>
    </font>
    <font>
      <i/>
      <vertAlign val="subscript"/>
      <sz val="9"/>
      <color theme="1"/>
      <name val="Arial"/>
      <family val="2"/>
    </font>
    <font>
      <i/>
      <sz val="11"/>
      <color theme="1"/>
      <name val="Calibri"/>
      <family val="2"/>
      <scheme val="minor"/>
    </font>
    <font>
      <sz val="9"/>
      <color theme="1"/>
      <name val="Symbol"/>
      <family val="1"/>
      <charset val="2"/>
    </font>
    <font>
      <sz val="9"/>
      <color theme="1"/>
      <name val="Arial"/>
      <family val="1"/>
      <charset val="2"/>
    </font>
    <font>
      <vertAlign val="superscript"/>
      <sz val="9"/>
      <name val="Arial"/>
      <family val="2"/>
    </font>
    <font>
      <sz val="8"/>
      <color theme="1"/>
      <name val="Arial"/>
      <family val="2"/>
    </font>
    <font>
      <vertAlign val="superscript"/>
      <sz val="8"/>
      <color theme="1"/>
      <name val="Arial"/>
      <family val="2"/>
    </font>
    <font>
      <sz val="9"/>
      <color rgb="FFFF0000"/>
      <name val="Arial"/>
      <family val="2"/>
    </font>
    <font>
      <sz val="8"/>
      <name val="Calibri"/>
      <family val="2"/>
      <scheme val="minor"/>
    </font>
    <font>
      <b/>
      <sz val="9"/>
      <color theme="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2" fontId="1" fillId="0" borderId="0">
      <alignment horizontal="center" vertical="center"/>
    </xf>
    <xf numFmtId="2" fontId="2" fillId="0" borderId="0">
      <alignment vertical="center"/>
    </xf>
    <xf numFmtId="2" fontId="3" fillId="0" borderId="0">
      <alignment vertical="center"/>
    </xf>
    <xf numFmtId="9" fontId="5" fillId="0" borderId="0" applyFont="0" applyFill="0" applyBorder="0" applyAlignment="0" applyProtection="0"/>
  </cellStyleXfs>
  <cellXfs count="187">
    <xf numFmtId="0" fontId="0" fillId="0" borderId="0" xfId="0"/>
    <xf numFmtId="0" fontId="6" fillId="0" borderId="0" xfId="0" applyFont="1"/>
    <xf numFmtId="0" fontId="8" fillId="0" borderId="0" xfId="0" applyFont="1"/>
    <xf numFmtId="2" fontId="7" fillId="2" borderId="0" xfId="0" applyNumberFormat="1" applyFont="1" applyFill="1" applyAlignment="1">
      <alignment horizontal="center"/>
    </xf>
    <xf numFmtId="0" fontId="8" fillId="0" borderId="0" xfId="0" applyFont="1" applyAlignment="1">
      <alignment horizontal="right"/>
    </xf>
    <xf numFmtId="0" fontId="8" fillId="0" borderId="0" xfId="0" quotePrefix="1" applyFont="1"/>
    <xf numFmtId="167" fontId="8" fillId="0" borderId="0" xfId="0" applyNumberFormat="1" applyFont="1" applyAlignment="1">
      <alignment horizontal="left"/>
    </xf>
    <xf numFmtId="0" fontId="8" fillId="0" borderId="1" xfId="0" applyFont="1" applyBorder="1" applyAlignment="1">
      <alignment horizontal="center"/>
    </xf>
    <xf numFmtId="2" fontId="8" fillId="0" borderId="0" xfId="0" applyNumberFormat="1" applyFont="1"/>
    <xf numFmtId="0" fontId="8" fillId="0" borderId="0" xfId="0" applyFont="1" applyAlignment="1">
      <alignment horizontal="center"/>
    </xf>
    <xf numFmtId="0" fontId="14" fillId="0" borderId="0" xfId="0" applyFont="1"/>
    <xf numFmtId="0" fontId="8" fillId="0" borderId="0" xfId="0" applyFont="1" applyAlignment="1">
      <alignment vertical="center"/>
    </xf>
    <xf numFmtId="2" fontId="8" fillId="0" borderId="0" xfId="0" applyNumberFormat="1" applyFont="1" applyAlignment="1">
      <alignment vertical="center"/>
    </xf>
    <xf numFmtId="0" fontId="9" fillId="0" borderId="0" xfId="0" applyFont="1"/>
    <xf numFmtId="0" fontId="15" fillId="0" borderId="0" xfId="0" applyFont="1" applyAlignment="1">
      <alignment horizontal="right"/>
    </xf>
    <xf numFmtId="165" fontId="8" fillId="0" borderId="0" xfId="0" applyNumberFormat="1" applyFont="1"/>
    <xf numFmtId="164" fontId="8" fillId="0" borderId="0" xfId="0" applyNumberFormat="1" applyFont="1"/>
    <xf numFmtId="0" fontId="8" fillId="0" borderId="8" xfId="0" quotePrefix="1" applyFont="1" applyBorder="1" applyAlignment="1">
      <alignment horizontal="center"/>
    </xf>
    <xf numFmtId="0" fontId="8" fillId="0" borderId="8"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3" xfId="0" quotePrefix="1"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2" fontId="8" fillId="0" borderId="0" xfId="0" applyNumberFormat="1" applyFont="1" applyAlignment="1">
      <alignment horizontal="left"/>
    </xf>
    <xf numFmtId="0" fontId="8" fillId="0" borderId="0" xfId="0" applyFont="1" applyAlignment="1">
      <alignment horizontal="right" vertical="center"/>
    </xf>
    <xf numFmtId="165" fontId="8" fillId="0" borderId="0" xfId="0" applyNumberFormat="1" applyFont="1" applyAlignment="1">
      <alignment vertical="center"/>
    </xf>
    <xf numFmtId="2" fontId="8" fillId="0" borderId="0" xfId="0" applyNumberFormat="1" applyFont="1" applyAlignment="1">
      <alignment horizontal="left" vertical="center"/>
    </xf>
    <xf numFmtId="165" fontId="8" fillId="0" borderId="0" xfId="0" applyNumberFormat="1" applyFont="1" applyAlignment="1">
      <alignment horizontal="left" vertical="center"/>
    </xf>
    <xf numFmtId="2" fontId="8" fillId="0" borderId="0" xfId="0" applyNumberFormat="1" applyFont="1" applyAlignment="1">
      <alignment horizontal="center"/>
    </xf>
    <xf numFmtId="2" fontId="8" fillId="0" borderId="0" xfId="0" applyNumberFormat="1" applyFont="1" applyAlignment="1">
      <alignment horizontal="right"/>
    </xf>
    <xf numFmtId="2" fontId="8" fillId="0" borderId="0" xfId="0" applyNumberFormat="1" applyFont="1" applyAlignment="1">
      <alignment horizontal="right" vertical="center"/>
    </xf>
    <xf numFmtId="2" fontId="7" fillId="0" borderId="0" xfId="0" applyNumberFormat="1" applyFont="1" applyAlignment="1">
      <alignment horizontal="center"/>
    </xf>
    <xf numFmtId="0" fontId="8" fillId="0" borderId="0" xfId="0" quotePrefix="1" applyFont="1" applyAlignment="1">
      <alignment horizontal="right"/>
    </xf>
    <xf numFmtId="9" fontId="8" fillId="0" borderId="0" xfId="4" applyFont="1"/>
    <xf numFmtId="0" fontId="7" fillId="0" borderId="0" xfId="0" applyFont="1" applyAlignment="1">
      <alignment horizontal="right"/>
    </xf>
    <xf numFmtId="0" fontId="6" fillId="0" borderId="16" xfId="0" applyFont="1" applyBorder="1"/>
    <xf numFmtId="0" fontId="8" fillId="0" borderId="17" xfId="0" applyFont="1" applyBorder="1"/>
    <xf numFmtId="0" fontId="8" fillId="0" borderId="18" xfId="0" applyFont="1" applyBorder="1"/>
    <xf numFmtId="0" fontId="8" fillId="0" borderId="19" xfId="0" applyFont="1" applyBorder="1"/>
    <xf numFmtId="168" fontId="7" fillId="0" borderId="20" xfId="0" applyNumberFormat="1" applyFont="1" applyBorder="1"/>
    <xf numFmtId="169" fontId="7" fillId="0" borderId="0" xfId="0" applyNumberFormat="1" applyFont="1"/>
    <xf numFmtId="0" fontId="8" fillId="0" borderId="21" xfId="0" applyFont="1" applyBorder="1"/>
    <xf numFmtId="0" fontId="8" fillId="0" borderId="22" xfId="0" applyFont="1" applyBorder="1"/>
    <xf numFmtId="169" fontId="7" fillId="0" borderId="22" xfId="0" applyNumberFormat="1" applyFont="1" applyBorder="1"/>
    <xf numFmtId="168" fontId="7" fillId="0" borderId="23" xfId="0" applyNumberFormat="1" applyFont="1" applyBorder="1"/>
    <xf numFmtId="166" fontId="7" fillId="2" borderId="0" xfId="0" applyNumberFormat="1" applyFont="1" applyFill="1" applyAlignment="1">
      <alignment horizontal="center"/>
    </xf>
    <xf numFmtId="164" fontId="8" fillId="0" borderId="0" xfId="0" applyNumberFormat="1" applyFont="1" applyAlignment="1">
      <alignment horizontal="center"/>
    </xf>
    <xf numFmtId="165" fontId="8" fillId="0" borderId="0" xfId="0" applyNumberFormat="1" applyFont="1" applyAlignment="1">
      <alignment horizontal="center" vertical="center"/>
    </xf>
    <xf numFmtId="0" fontId="7" fillId="2" borderId="0" xfId="0" applyFont="1" applyFill="1" applyAlignment="1">
      <alignment horizontal="center"/>
    </xf>
    <xf numFmtId="0" fontId="17" fillId="0" borderId="0" xfId="0" applyFont="1"/>
    <xf numFmtId="0" fontId="16" fillId="0" borderId="0" xfId="0" applyFont="1"/>
    <xf numFmtId="165" fontId="8" fillId="0" borderId="0" xfId="0" applyNumberFormat="1" applyFont="1" applyAlignment="1">
      <alignment horizontal="center"/>
    </xf>
    <xf numFmtId="0" fontId="21" fillId="0" borderId="0" xfId="0" applyFont="1"/>
    <xf numFmtId="2" fontId="8" fillId="0" borderId="0" xfId="0" applyNumberFormat="1" applyFont="1" applyAlignment="1">
      <alignment horizontal="center" vertical="center"/>
    </xf>
    <xf numFmtId="0" fontId="21" fillId="0" borderId="0" xfId="0" applyFont="1" applyAlignment="1">
      <alignment horizontal="center"/>
    </xf>
    <xf numFmtId="0" fontId="8" fillId="0" borderId="16" xfId="0" applyFont="1" applyBorder="1"/>
    <xf numFmtId="0" fontId="8" fillId="0" borderId="17" xfId="0" applyFont="1" applyBorder="1" applyAlignment="1">
      <alignment horizontal="center"/>
    </xf>
    <xf numFmtId="2" fontId="8" fillId="0" borderId="17" xfId="0" applyNumberFormat="1" applyFont="1" applyBorder="1"/>
    <xf numFmtId="0" fontId="8" fillId="0" borderId="22" xfId="0" applyFont="1" applyBorder="1" applyAlignment="1">
      <alignment horizontal="center"/>
    </xf>
    <xf numFmtId="2" fontId="8" fillId="0" borderId="22" xfId="0" applyNumberFormat="1" applyFont="1" applyBorder="1"/>
    <xf numFmtId="0" fontId="8" fillId="0" borderId="23" xfId="0" applyFont="1" applyBorder="1"/>
    <xf numFmtId="2" fontId="8" fillId="0" borderId="1" xfId="0" applyNumberFormat="1" applyFont="1" applyBorder="1" applyAlignment="1">
      <alignment horizontal="center"/>
    </xf>
    <xf numFmtId="0" fontId="8" fillId="0" borderId="0" xfId="0" quotePrefix="1" applyFont="1" applyAlignment="1">
      <alignment horizontal="center"/>
    </xf>
    <xf numFmtId="0" fontId="7" fillId="0" borderId="0" xfId="0" applyFont="1" applyAlignment="1">
      <alignment horizontal="center"/>
    </xf>
    <xf numFmtId="169" fontId="7" fillId="2" borderId="2" xfId="0" applyNumberFormat="1" applyFont="1" applyFill="1" applyBorder="1"/>
    <xf numFmtId="167" fontId="7" fillId="2" borderId="3" xfId="0" applyNumberFormat="1" applyFont="1" applyFill="1" applyBorder="1"/>
    <xf numFmtId="0" fontId="8" fillId="0" borderId="1" xfId="0" quotePrefix="1" applyFont="1" applyBorder="1" applyAlignment="1">
      <alignment horizontal="center" vertical="center" wrapText="1"/>
    </xf>
    <xf numFmtId="0" fontId="8" fillId="0" borderId="1" xfId="0" applyFont="1" applyBorder="1" applyAlignment="1">
      <alignment horizontal="center" vertical="center" wrapText="1"/>
    </xf>
    <xf numFmtId="0" fontId="8" fillId="0" borderId="31" xfId="0" quotePrefix="1" applyFont="1" applyBorder="1" applyAlignment="1">
      <alignment horizontal="center" vertical="center" wrapText="1"/>
    </xf>
    <xf numFmtId="0" fontId="8" fillId="0" borderId="31" xfId="0" applyFont="1" applyBorder="1" applyAlignment="1">
      <alignment horizontal="center" vertical="center" wrapText="1"/>
    </xf>
    <xf numFmtId="2" fontId="8" fillId="0" borderId="24" xfId="0" applyNumberFormat="1" applyFont="1" applyBorder="1" applyAlignment="1">
      <alignment horizontal="center"/>
    </xf>
    <xf numFmtId="0" fontId="8" fillId="0" borderId="32" xfId="0" applyFont="1" applyBorder="1" applyAlignment="1">
      <alignment horizontal="center"/>
    </xf>
    <xf numFmtId="2" fontId="8" fillId="0" borderId="32" xfId="0" applyNumberFormat="1" applyFont="1" applyBorder="1" applyAlignment="1">
      <alignment horizontal="center"/>
    </xf>
    <xf numFmtId="2" fontId="8" fillId="0" borderId="25" xfId="0" applyNumberFormat="1" applyFont="1" applyBorder="1" applyAlignment="1">
      <alignment horizontal="center"/>
    </xf>
    <xf numFmtId="2" fontId="8" fillId="0" borderId="27" xfId="0" applyNumberFormat="1" applyFont="1" applyBorder="1" applyAlignment="1">
      <alignment horizontal="center"/>
    </xf>
    <xf numFmtId="2" fontId="8" fillId="0" borderId="26" xfId="0" applyNumberFormat="1" applyFont="1" applyBorder="1" applyAlignment="1">
      <alignment horizontal="center"/>
    </xf>
    <xf numFmtId="2" fontId="8" fillId="0" borderId="28" xfId="0" applyNumberFormat="1" applyFont="1" applyBorder="1" applyAlignment="1">
      <alignment horizontal="center"/>
    </xf>
    <xf numFmtId="2" fontId="8" fillId="0" borderId="30" xfId="0" applyNumberFormat="1" applyFont="1" applyBorder="1" applyAlignment="1">
      <alignment horizontal="center"/>
    </xf>
    <xf numFmtId="0" fontId="8" fillId="0" borderId="30" xfId="0" applyFont="1" applyBorder="1" applyAlignment="1">
      <alignment horizontal="center"/>
    </xf>
    <xf numFmtId="2" fontId="8" fillId="0" borderId="29" xfId="0" applyNumberFormat="1" applyFont="1" applyBorder="1" applyAlignment="1">
      <alignment horizontal="center"/>
    </xf>
    <xf numFmtId="0" fontId="8" fillId="0" borderId="24" xfId="0" applyFont="1" applyBorder="1"/>
    <xf numFmtId="0" fontId="8" fillId="0" borderId="25" xfId="0" applyFont="1" applyBorder="1"/>
    <xf numFmtId="0" fontId="8" fillId="0" borderId="27" xfId="0" applyFont="1" applyBorder="1"/>
    <xf numFmtId="0" fontId="8" fillId="0" borderId="26" xfId="0" applyFont="1" applyBorder="1"/>
    <xf numFmtId="0" fontId="8" fillId="0" borderId="28" xfId="0" applyFont="1" applyBorder="1"/>
    <xf numFmtId="0" fontId="8" fillId="0" borderId="29" xfId="0" applyFont="1" applyBorder="1"/>
    <xf numFmtId="0" fontId="7" fillId="0" borderId="0" xfId="0" applyFont="1"/>
    <xf numFmtId="166" fontId="7" fillId="2" borderId="1" xfId="0" applyNumberFormat="1" applyFont="1" applyFill="1" applyBorder="1" applyAlignment="1">
      <alignment horizontal="center"/>
    </xf>
    <xf numFmtId="0" fontId="8" fillId="2" borderId="24" xfId="0" applyFont="1" applyFill="1" applyBorder="1" applyAlignment="1">
      <alignment horizontal="center"/>
    </xf>
    <xf numFmtId="0" fontId="8" fillId="2" borderId="27" xfId="0" applyFont="1" applyFill="1" applyBorder="1" applyAlignment="1">
      <alignment horizontal="center"/>
    </xf>
    <xf numFmtId="0" fontId="8" fillId="2" borderId="28" xfId="0" applyFont="1" applyFill="1" applyBorder="1" applyAlignment="1">
      <alignment horizontal="center"/>
    </xf>
    <xf numFmtId="0" fontId="23" fillId="0" borderId="0" xfId="0" applyFont="1"/>
    <xf numFmtId="168" fontId="7" fillId="2" borderId="3" xfId="0" applyNumberFormat="1" applyFont="1" applyFill="1" applyBorder="1"/>
    <xf numFmtId="0" fontId="23" fillId="0" borderId="0" xfId="0" applyFont="1" applyAlignment="1">
      <alignment vertical="center"/>
    </xf>
    <xf numFmtId="0" fontId="8" fillId="0" borderId="0" xfId="0" applyFont="1" applyAlignment="1">
      <alignment horizontal="center" vertical="center"/>
    </xf>
    <xf numFmtId="0" fontId="8" fillId="0" borderId="17" xfId="0" applyFont="1" applyBorder="1" applyAlignment="1">
      <alignment horizontal="right"/>
    </xf>
    <xf numFmtId="2" fontId="8" fillId="0" borderId="17" xfId="0" applyNumberFormat="1" applyFont="1" applyBorder="1" applyAlignment="1">
      <alignment horizontal="center"/>
    </xf>
    <xf numFmtId="0" fontId="8" fillId="0" borderId="22" xfId="0" applyFont="1" applyBorder="1" applyAlignment="1">
      <alignment horizontal="right"/>
    </xf>
    <xf numFmtId="2" fontId="8" fillId="0" borderId="22" xfId="0" applyNumberFormat="1" applyFont="1" applyBorder="1" applyAlignment="1">
      <alignment horizontal="center"/>
    </xf>
    <xf numFmtId="168" fontId="7" fillId="0" borderId="0" xfId="0" applyNumberFormat="1" applyFont="1"/>
    <xf numFmtId="0" fontId="0" fillId="0" borderId="0" xfId="0" applyAlignment="1">
      <alignment wrapText="1"/>
    </xf>
    <xf numFmtId="0" fontId="8" fillId="0" borderId="2" xfId="0" applyFont="1" applyBorder="1"/>
    <xf numFmtId="2" fontId="7" fillId="3" borderId="0" xfId="0" applyNumberFormat="1" applyFont="1" applyFill="1"/>
    <xf numFmtId="0" fontId="8" fillId="3" borderId="0" xfId="0" applyFont="1" applyFill="1" applyAlignment="1">
      <alignment horizontal="center"/>
    </xf>
    <xf numFmtId="2" fontId="8" fillId="3" borderId="0" xfId="0" applyNumberFormat="1" applyFont="1" applyFill="1" applyAlignment="1">
      <alignment horizontal="center"/>
    </xf>
    <xf numFmtId="2" fontId="8" fillId="0" borderId="3" xfId="0" applyNumberFormat="1" applyFont="1" applyBorder="1" applyAlignment="1">
      <alignment horizontal="center"/>
    </xf>
    <xf numFmtId="2" fontId="8" fillId="0" borderId="8" xfId="0" applyNumberFormat="1" applyFont="1" applyBorder="1" applyAlignment="1">
      <alignment horizontal="center"/>
    </xf>
    <xf numFmtId="2" fontId="8" fillId="0" borderId="15" xfId="0" applyNumberFormat="1" applyFont="1" applyBorder="1" applyAlignment="1">
      <alignment horizontal="center"/>
    </xf>
    <xf numFmtId="2" fontId="8" fillId="0" borderId="11" xfId="0" applyNumberFormat="1" applyFont="1" applyBorder="1" applyAlignment="1">
      <alignment horizontal="center"/>
    </xf>
    <xf numFmtId="2" fontId="7" fillId="3" borderId="0" xfId="0" applyNumberFormat="1" applyFont="1" applyFill="1" applyAlignment="1">
      <alignment horizontal="center"/>
    </xf>
    <xf numFmtId="0" fontId="8" fillId="0" borderId="31" xfId="0" applyFont="1" applyBorder="1"/>
    <xf numFmtId="0" fontId="8" fillId="0" borderId="3" xfId="0" applyFont="1" applyBorder="1"/>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7" xfId="0" applyFont="1" applyBorder="1" applyAlignment="1">
      <alignment horizontal="center" vertical="center"/>
    </xf>
    <xf numFmtId="0" fontId="8" fillId="0" borderId="33"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34" xfId="0" applyFont="1" applyBorder="1" applyAlignment="1">
      <alignment horizontal="center" vertical="center"/>
    </xf>
    <xf numFmtId="0" fontId="8" fillId="0" borderId="29" xfId="0" applyFont="1" applyBorder="1" applyAlignment="1">
      <alignment horizontal="center" vertical="center"/>
    </xf>
    <xf numFmtId="0" fontId="25" fillId="0" borderId="0" xfId="0" applyFont="1"/>
    <xf numFmtId="2" fontId="8" fillId="0" borderId="34" xfId="0" applyNumberFormat="1" applyFont="1" applyBorder="1" applyAlignment="1">
      <alignment horizontal="center"/>
    </xf>
    <xf numFmtId="0" fontId="8" fillId="0" borderId="0" xfId="0" quotePrefix="1" applyFont="1" applyAlignment="1">
      <alignment horizontal="right" indent="1"/>
    </xf>
    <xf numFmtId="0" fontId="8" fillId="0" borderId="0" xfId="0" applyFont="1" applyAlignment="1">
      <alignment horizontal="right" indent="1"/>
    </xf>
    <xf numFmtId="0" fontId="8" fillId="0" borderId="24" xfId="0" quotePrefix="1" applyFont="1" applyBorder="1" applyAlignment="1">
      <alignment horizontal="center" vertical="center" wrapText="1"/>
    </xf>
    <xf numFmtId="0" fontId="8" fillId="0" borderId="2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2" xfId="0" quotePrefix="1" applyFont="1" applyBorder="1" applyAlignment="1">
      <alignment horizontal="center" vertical="center" wrapText="1"/>
    </xf>
    <xf numFmtId="0" fontId="25" fillId="0" borderId="0" xfId="0" applyFont="1" applyAlignment="1">
      <alignment vertical="top"/>
    </xf>
    <xf numFmtId="0" fontId="7" fillId="3" borderId="0" xfId="0" applyFont="1" applyFill="1" applyAlignment="1">
      <alignment horizontal="center"/>
    </xf>
    <xf numFmtId="169" fontId="7" fillId="3" borderId="2" xfId="0" applyNumberFormat="1" applyFont="1" applyFill="1" applyBorder="1"/>
    <xf numFmtId="170" fontId="7" fillId="3" borderId="3" xfId="0" applyNumberFormat="1" applyFont="1" applyFill="1" applyBorder="1" applyAlignment="1">
      <alignment horizontal="center"/>
    </xf>
    <xf numFmtId="0" fontId="8" fillId="3" borderId="1" xfId="0" applyFont="1" applyFill="1" applyBorder="1" applyAlignment="1">
      <alignment horizontal="center"/>
    </xf>
    <xf numFmtId="166" fontId="7" fillId="3" borderId="1" xfId="0" applyNumberFormat="1" applyFont="1" applyFill="1" applyBorder="1" applyAlignment="1">
      <alignment horizontal="center"/>
    </xf>
    <xf numFmtId="164" fontId="7" fillId="3" borderId="0" xfId="0" applyNumberFormat="1" applyFont="1" applyFill="1" applyAlignment="1">
      <alignment horizontal="center"/>
    </xf>
    <xf numFmtId="165" fontId="7" fillId="3" borderId="0" xfId="0" applyNumberFormat="1" applyFont="1" applyFill="1" applyAlignment="1">
      <alignment horizontal="center"/>
    </xf>
    <xf numFmtId="167" fontId="7" fillId="3" borderId="0" xfId="0" applyNumberFormat="1" applyFont="1" applyFill="1" applyAlignment="1">
      <alignment horizontal="center"/>
    </xf>
    <xf numFmtId="168" fontId="7" fillId="3" borderId="0" xfId="0" applyNumberFormat="1" applyFont="1" applyFill="1"/>
    <xf numFmtId="169" fontId="7" fillId="3" borderId="0" xfId="0" applyNumberFormat="1" applyFont="1" applyFill="1" applyAlignment="1">
      <alignment horizontal="center"/>
    </xf>
    <xf numFmtId="164" fontId="7" fillId="0" borderId="0" xfId="0" applyNumberFormat="1" applyFont="1" applyAlignment="1">
      <alignment horizontal="center"/>
    </xf>
    <xf numFmtId="171" fontId="8" fillId="0" borderId="0" xfId="0" applyNumberFormat="1" applyFont="1"/>
    <xf numFmtId="172" fontId="8" fillId="0" borderId="0" xfId="0" applyNumberFormat="1" applyFont="1"/>
    <xf numFmtId="0" fontId="19" fillId="0" borderId="0" xfId="0" applyFont="1" applyAlignment="1">
      <alignment wrapText="1"/>
    </xf>
    <xf numFmtId="16" fontId="8" fillId="0" borderId="0" xfId="0" applyNumberFormat="1" applyFont="1"/>
    <xf numFmtId="164" fontId="7" fillId="2" borderId="0" xfId="0" applyNumberFormat="1" applyFont="1" applyFill="1" applyAlignment="1">
      <alignment horizontal="center"/>
    </xf>
    <xf numFmtId="168" fontId="7" fillId="2" borderId="0" xfId="0" applyNumberFormat="1" applyFont="1" applyFill="1" applyAlignment="1">
      <alignment horizontal="center"/>
    </xf>
    <xf numFmtId="2" fontId="7" fillId="0" borderId="0" xfId="0" applyNumberFormat="1" applyFont="1" applyAlignment="1">
      <alignment vertical="center"/>
    </xf>
    <xf numFmtId="0" fontId="27" fillId="0" borderId="0" xfId="0" applyFont="1"/>
    <xf numFmtId="0" fontId="7" fillId="2" borderId="0" xfId="0" applyFont="1" applyFill="1"/>
    <xf numFmtId="0" fontId="8" fillId="0" borderId="0" xfId="0" applyFont="1" applyAlignment="1">
      <alignment horizontal="left"/>
    </xf>
    <xf numFmtId="0" fontId="11" fillId="0" borderId="0" xfId="0" applyFont="1"/>
    <xf numFmtId="0" fontId="7" fillId="0" borderId="0" xfId="0" applyFont="1" applyAlignment="1">
      <alignment horizontal="center" vertical="center"/>
    </xf>
    <xf numFmtId="0" fontId="17" fillId="0" borderId="0" xfId="0" applyFont="1" applyAlignment="1">
      <alignment wrapText="1"/>
    </xf>
    <xf numFmtId="2" fontId="8" fillId="0" borderId="0" xfId="0" quotePrefix="1" applyNumberFormat="1" applyFont="1"/>
    <xf numFmtId="0" fontId="8" fillId="0" borderId="0" xfId="0" applyFont="1" applyAlignment="1">
      <alignment wrapText="1"/>
    </xf>
    <xf numFmtId="0" fontId="0" fillId="0" borderId="0" xfId="0" applyAlignment="1">
      <alignment wrapText="1"/>
    </xf>
    <xf numFmtId="0" fontId="8" fillId="0" borderId="7" xfId="0" applyFont="1" applyBorder="1"/>
    <xf numFmtId="0" fontId="8" fillId="0" borderId="2" xfId="0" applyFont="1" applyBorder="1"/>
    <xf numFmtId="0" fontId="8" fillId="0" borderId="9" xfId="0" applyFont="1" applyBorder="1"/>
    <xf numFmtId="0" fontId="9" fillId="0" borderId="13" xfId="0" applyFont="1" applyBorder="1"/>
    <xf numFmtId="0" fontId="8" fillId="0" borderId="4" xfId="0" applyFont="1" applyBorder="1"/>
    <xf numFmtId="0" fontId="8" fillId="0" borderId="12" xfId="0" applyFont="1" applyBorder="1"/>
    <xf numFmtId="0" fontId="8" fillId="0" borderId="14"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7" fillId="3" borderId="0" xfId="0" applyFont="1" applyFill="1" applyAlignment="1">
      <alignment horizontal="center"/>
    </xf>
    <xf numFmtId="0" fontId="8" fillId="0" borderId="0" xfId="0" quotePrefix="1" applyFont="1" applyAlignment="1">
      <alignment wrapText="1"/>
    </xf>
    <xf numFmtId="0" fontId="17" fillId="0" borderId="0" xfId="0" applyFont="1" applyAlignment="1">
      <alignment wrapText="1"/>
    </xf>
    <xf numFmtId="0" fontId="19" fillId="0" borderId="0" xfId="0" applyFont="1" applyAlignment="1">
      <alignment wrapText="1"/>
    </xf>
    <xf numFmtId="0" fontId="8" fillId="0" borderId="0" xfId="0" applyFont="1" applyAlignment="1">
      <alignment horizontal="center" wrapText="1"/>
    </xf>
    <xf numFmtId="0" fontId="7" fillId="2" borderId="0" xfId="0" applyFont="1" applyFill="1" applyAlignment="1">
      <alignment horizontal="center"/>
    </xf>
    <xf numFmtId="0" fontId="8" fillId="0" borderId="0" xfId="0" applyFont="1" applyAlignment="1">
      <alignment vertical="top" wrapText="1"/>
    </xf>
    <xf numFmtId="0" fontId="0" fillId="0" borderId="0" xfId="0" applyAlignment="1">
      <alignment vertical="top" wrapText="1"/>
    </xf>
    <xf numFmtId="0" fontId="8" fillId="0" borderId="0" xfId="0" applyFont="1" applyAlignment="1">
      <alignment horizontal="left" indent="1"/>
    </xf>
    <xf numFmtId="0" fontId="7" fillId="3" borderId="0" xfId="0" applyFont="1" applyFill="1" applyAlignment="1">
      <alignment horizontal="center" vertical="center"/>
    </xf>
    <xf numFmtId="0" fontId="4" fillId="3" borderId="0" xfId="0" applyFont="1" applyFill="1" applyAlignment="1">
      <alignment horizontal="center" vertical="center"/>
    </xf>
    <xf numFmtId="0" fontId="8" fillId="0" borderId="0" xfId="0" applyFont="1"/>
    <xf numFmtId="0" fontId="8" fillId="0" borderId="1" xfId="0" applyFont="1" applyBorder="1" applyAlignment="1">
      <alignment wrapText="1"/>
    </xf>
    <xf numFmtId="0" fontId="8" fillId="0" borderId="1" xfId="0" applyFont="1" applyBorder="1" applyAlignment="1">
      <alignment horizontal="center"/>
    </xf>
    <xf numFmtId="0" fontId="0" fillId="0" borderId="1" xfId="0" applyBorder="1"/>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vertical="center" wrapText="1"/>
    </xf>
  </cellXfs>
  <cellStyles count="5">
    <cellStyle name="Emphasis" xfId="3" xr:uid="{00000000-0005-0000-0000-000000000000}"/>
    <cellStyle name="Normal" xfId="0" builtinId="0"/>
    <cellStyle name="Percent" xfId="4" builtinId="5"/>
    <cellStyle name="Units" xfId="2" xr:uid="{00000000-0005-0000-0000-000003000000}"/>
    <cellStyle name="Validation" xfId="1" xr:uid="{00000000-0005-0000-0000-000004000000}"/>
  </cellStyles>
  <dxfs count="540">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9C0006"/>
      </font>
      <fill>
        <patternFill>
          <bgColor rgb="FFFFC7CE"/>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006100"/>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006100"/>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9C0006"/>
      </font>
      <fill>
        <patternFill>
          <bgColor rgb="FFFFC7CE"/>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color rgb="FF0000FF"/>
      </font>
      <fill>
        <patternFill patternType="none">
          <bgColor auto="1"/>
        </patternFill>
      </fill>
    </dxf>
    <dxf>
      <font>
        <b/>
        <i val="0"/>
        <color rgb="FF9C0006"/>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
      <font>
        <b/>
        <i val="0"/>
        <color rgb="FF0000FF"/>
      </font>
      <fill>
        <patternFill patternType="none">
          <bgColor auto="1"/>
        </patternFill>
      </fill>
    </dxf>
    <dxf>
      <font>
        <b/>
        <i val="0"/>
        <color rgb="FF9C0006"/>
      </font>
      <fill>
        <patternFill patternType="none">
          <bgColor auto="1"/>
        </patternFill>
      </fill>
    </dxf>
    <dxf>
      <font>
        <color rgb="FF0000FF"/>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7.wmf"/></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0</xdr:col>
      <xdr:colOff>0</xdr:colOff>
      <xdr:row>53</xdr:row>
      <xdr:rowOff>9525</xdr:rowOff>
    </xdr:from>
    <xdr:ext cx="1531958" cy="17536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448300"/>
              <a:ext cx="153195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𝐸</m:t>
                        </m:r>
                      </m:e>
                      <m:sub>
                        <m:r>
                          <a:rPr lang="en-US" sz="1100" b="0" i="1">
                            <a:latin typeface="Cambria Math" panose="02040503050406030204" pitchFamily="18" charset="0"/>
                          </a:rPr>
                          <m:t>𝑐</m:t>
                        </m:r>
                      </m:sub>
                    </m:sSub>
                    <m:r>
                      <a:rPr lang="en-US" sz="1100" b="0" i="1">
                        <a:latin typeface="Cambria Math" panose="02040503050406030204" pitchFamily="18" charset="0"/>
                      </a:rPr>
                      <m:t>=120,000</m:t>
                    </m:r>
                    <m:sSub>
                      <m:sSubPr>
                        <m:ctrlPr>
                          <a:rPr lang="en-US" sz="1100" b="0" i="1">
                            <a:latin typeface="Cambria Math" panose="02040503050406030204" pitchFamily="18" charset="0"/>
                          </a:rPr>
                        </m:ctrlPr>
                      </m:sSubPr>
                      <m:e>
                        <m:r>
                          <a:rPr lang="en-US" sz="1100" b="0" i="1">
                            <a:latin typeface="Cambria Math" panose="02040503050406030204" pitchFamily="18" charset="0"/>
                          </a:rPr>
                          <m:t>𝐾</m:t>
                        </m:r>
                      </m:e>
                      <m:sub>
                        <m:r>
                          <a:rPr lang="en-US" sz="1100" b="0" i="1">
                            <a:latin typeface="Cambria Math" panose="02040503050406030204" pitchFamily="18" charset="0"/>
                          </a:rPr>
                          <m:t>1</m:t>
                        </m:r>
                      </m:sub>
                    </m:sSub>
                    <m:sSubSup>
                      <m:sSubSupPr>
                        <m:ctrlPr>
                          <a:rPr lang="en-US" sz="1100" b="0" i="1">
                            <a:latin typeface="Cambria Math" panose="02040503050406030204" pitchFamily="18" charset="0"/>
                          </a:rPr>
                        </m:ctrlPr>
                      </m:sSubSupPr>
                      <m:e>
                        <m:r>
                          <a:rPr lang="en-US" sz="1100" b="0" i="1">
                            <a:latin typeface="Cambria Math" panose="02040503050406030204" pitchFamily="18" charset="0"/>
                          </a:rPr>
                          <m:t>𝑊</m:t>
                        </m:r>
                      </m:e>
                      <m:sub>
                        <m:r>
                          <a:rPr lang="en-US" sz="1100" b="0" i="1">
                            <a:latin typeface="Cambria Math" panose="02040503050406030204" pitchFamily="18" charset="0"/>
                          </a:rPr>
                          <m:t>𝑐</m:t>
                        </m:r>
                      </m:sub>
                      <m:sup>
                        <m:r>
                          <a:rPr lang="en-US" sz="1100" b="0" i="1">
                            <a:latin typeface="Cambria Math" panose="02040503050406030204" pitchFamily="18" charset="0"/>
                          </a:rPr>
                          <m:t>2</m:t>
                        </m:r>
                      </m:sup>
                    </m:sSubSup>
                    <m:sSubSup>
                      <m:sSubSupPr>
                        <m:ctrlPr>
                          <a:rPr lang="en-US" sz="1100" b="0" i="1">
                            <a:latin typeface="Cambria Math" panose="02040503050406030204" pitchFamily="18" charset="0"/>
                          </a:rPr>
                        </m:ctrlPr>
                      </m:sSubSupPr>
                      <m:e>
                        <m:r>
                          <a:rPr lang="en-US" sz="1100" b="0" i="1">
                            <a:latin typeface="Cambria Math" panose="02040503050406030204" pitchFamily="18" charset="0"/>
                          </a:rPr>
                          <m:t>𝑓</m:t>
                        </m:r>
                        <m:r>
                          <a:rPr lang="en-US" sz="1100" b="0" i="1">
                            <a:latin typeface="Cambria Math" panose="02040503050406030204" pitchFamily="18" charset="0"/>
                          </a:rPr>
                          <m:t>′</m:t>
                        </m:r>
                      </m:e>
                      <m:sub>
                        <m:r>
                          <a:rPr lang="en-US" sz="1100" b="0" i="1">
                            <a:latin typeface="Cambria Math" panose="02040503050406030204" pitchFamily="18" charset="0"/>
                          </a:rPr>
                          <m:t>𝑐</m:t>
                        </m:r>
                      </m:sub>
                      <m:sup>
                        <m:r>
                          <a:rPr lang="en-US" sz="1100" b="0" i="1">
                            <a:latin typeface="Cambria Math" panose="02040503050406030204" pitchFamily="18" charset="0"/>
                          </a:rPr>
                          <m:t>0.33</m:t>
                        </m:r>
                      </m:sup>
                    </m:sSubSup>
                  </m:oMath>
                </m:oMathPara>
              </a14:m>
              <a:endParaRPr lang="en-US" sz="1100"/>
            </a:p>
          </xdr:txBody>
        </xdr:sp>
      </mc:Choice>
      <mc:Fallback xmlns="">
        <xdr:sp macro="" textlink="">
          <xdr:nvSpPr>
            <xdr:cNvPr id="2" name="TextBox 1"/>
            <xdr:cNvSpPr txBox="1"/>
          </xdr:nvSpPr>
          <xdr:spPr>
            <a:xfrm>
              <a:off x="0" y="5448300"/>
              <a:ext cx="153195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𝐸_𝑐=120,000𝐾_1 𝑊_𝑐^2 〖𝑓′〗_𝑐^0.33</a:t>
              </a:r>
              <a:endParaRPr lang="en-US" sz="1100"/>
            </a:p>
          </xdr:txBody>
        </xdr:sp>
      </mc:Fallback>
    </mc:AlternateContent>
    <xdr:clientData/>
  </xdr:oneCellAnchor>
  <xdr:twoCellAnchor editAs="oneCell">
    <xdr:from>
      <xdr:col>15</xdr:col>
      <xdr:colOff>508674</xdr:colOff>
      <xdr:row>93</xdr:row>
      <xdr:rowOff>60868</xdr:rowOff>
    </xdr:from>
    <xdr:to>
      <xdr:col>23</xdr:col>
      <xdr:colOff>41225</xdr:colOff>
      <xdr:row>129</xdr:row>
      <xdr:rowOff>48540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918219" y="14141512"/>
          <a:ext cx="4458611" cy="5436332"/>
        </a:xfrm>
        <a:prstGeom prst="rect">
          <a:avLst/>
        </a:prstGeom>
      </xdr:spPr>
    </xdr:pic>
    <xdr:clientData/>
  </xdr:twoCellAnchor>
  <xdr:twoCellAnchor editAs="oneCell">
    <xdr:from>
      <xdr:col>0</xdr:col>
      <xdr:colOff>527050</xdr:colOff>
      <xdr:row>137</xdr:row>
      <xdr:rowOff>3175</xdr:rowOff>
    </xdr:from>
    <xdr:to>
      <xdr:col>2</xdr:col>
      <xdr:colOff>303695</xdr:colOff>
      <xdr:row>138</xdr:row>
      <xdr:rowOff>17116</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27050" y="25898475"/>
              <a:ext cx="1008545" cy="363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r>
                      <a:rPr lang="en-US" sz="1000" b="0" i="1">
                        <a:latin typeface="Cambria Math" panose="02040503050406030204" pitchFamily="18" charset="0"/>
                      </a:rPr>
                      <m:t>𝑎</m:t>
                    </m:r>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num>
                      <m:den>
                        <m:r>
                          <a:rPr lang="en-US" sz="1000" b="0" i="1">
                            <a:latin typeface="Cambria Math" panose="02040503050406030204" pitchFamily="18" charset="0"/>
                          </a:rPr>
                          <m:t>0.85</m:t>
                        </m:r>
                        <m:sSubSup>
                          <m:sSubSupPr>
                            <m:ctrlPr>
                              <a:rPr lang="en-US" sz="1000" b="0" i="1">
                                <a:latin typeface="Cambria Math" panose="02040503050406030204" pitchFamily="18" charset="0"/>
                              </a:rPr>
                            </m:ctrlPr>
                          </m:sSubSupPr>
                          <m:e>
                            <m:r>
                              <a:rPr lang="en-US" sz="1000" b="0" i="1">
                                <a:latin typeface="Cambria Math" panose="02040503050406030204" pitchFamily="18" charset="0"/>
                              </a:rPr>
                              <m:t>𝑓</m:t>
                            </m:r>
                          </m:e>
                          <m:sub>
                            <m:r>
                              <a:rPr lang="en-US" sz="1000" b="0" i="1">
                                <a:latin typeface="Cambria Math" panose="02040503050406030204" pitchFamily="18" charset="0"/>
                              </a:rPr>
                              <m:t>𝑐</m:t>
                            </m:r>
                          </m:sub>
                          <m:sup>
                            <m:r>
                              <a:rPr lang="en-US" sz="1000" b="0" i="1">
                                <a:latin typeface="Cambria Math" panose="02040503050406030204" pitchFamily="18" charset="0"/>
                              </a:rPr>
                              <m:t>′</m:t>
                            </m:r>
                          </m:sup>
                        </m:sSubSup>
                        <m:r>
                          <a:rPr lang="en-US" sz="1000" b="0" i="1">
                            <a:latin typeface="Cambria Math" panose="02040503050406030204" pitchFamily="18" charset="0"/>
                          </a:rPr>
                          <m:t>𝑏</m:t>
                        </m:r>
                      </m:den>
                    </m:f>
                    <m:r>
                      <a:rPr lang="en-US" sz="1000" b="0" i="1">
                        <a:latin typeface="Cambria Math" panose="02040503050406030204" pitchFamily="18" charset="0"/>
                      </a:rPr>
                      <m:t>=</m:t>
                    </m:r>
                  </m:oMath>
                </m:oMathPara>
              </a14:m>
              <a:endParaRPr lang="en-US" sz="1000">
                <a:latin typeface="Arial Narrow" panose="020B0606020202030204" pitchFamily="34" charset="0"/>
                <a:cs typeface="Arial" panose="020B0604020202020204" pitchFamily="34" charset="0"/>
              </a:endParaRPr>
            </a:p>
          </xdr:txBody>
        </xdr:sp>
      </mc:Choice>
      <mc:Fallback xmlns="">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27050" y="25898475"/>
              <a:ext cx="1008545" cy="363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𝑎=(𝐴_𝑆 𝑓_𝑦)/(0.85𝑓_𝑐^′ 𝑏)=</a:t>
              </a:r>
              <a:endParaRPr lang="en-US" sz="1000">
                <a:latin typeface="Arial Narrow" panose="020B0606020202030204" pitchFamily="34" charset="0"/>
                <a:cs typeface="Arial" panose="020B0604020202020204" pitchFamily="34" charset="0"/>
              </a:endParaRPr>
            </a:p>
          </xdr:txBody>
        </xdr:sp>
      </mc:Fallback>
    </mc:AlternateContent>
    <xdr:clientData/>
  </xdr:twoCellAnchor>
  <xdr:twoCellAnchor editAs="oneCell">
    <xdr:from>
      <xdr:col>3</xdr:col>
      <xdr:colOff>81170</xdr:colOff>
      <xdr:row>138</xdr:row>
      <xdr:rowOff>28989</xdr:rowOff>
    </xdr:from>
    <xdr:to>
      <xdr:col>6</xdr:col>
      <xdr:colOff>264532</xdr:colOff>
      <xdr:row>138</xdr:row>
      <xdr:rowOff>401706</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845366" y="22126989"/>
              <a:ext cx="1922709" cy="372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ea typeface="Cambria Math" panose="02040503050406030204" pitchFamily="18" charset="0"/>
                      </a:rPr>
                      <m:t>+</m:t>
                    </m:r>
                    <m:r>
                      <a:rPr lang="en-US" sz="1000" i="1">
                        <a:latin typeface="Cambria Math" panose="02040503050406030204" pitchFamily="18" charset="0"/>
                        <a:ea typeface="Cambria Math" panose="02040503050406030204" pitchFamily="18" charset="0"/>
                      </a:rPr>
                      <m:t>𝜑</m:t>
                    </m:r>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𝜑</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𝑎</m:t>
                            </m:r>
                          </m:num>
                          <m:den>
                            <m:r>
                              <a:rPr lang="en-US" sz="1000" b="0" i="1">
                                <a:latin typeface="Cambria Math" panose="02040503050406030204" pitchFamily="18" charset="0"/>
                                <a:ea typeface="Cambria Math" panose="02040503050406030204" pitchFamily="18" charset="0"/>
                              </a:rPr>
                              <m:t>2</m:t>
                            </m:r>
                          </m:den>
                        </m:f>
                      </m:e>
                    </m:d>
                    <m:r>
                      <a:rPr lang="en-US" sz="1000" b="0" i="1">
                        <a:latin typeface="Cambria Math" panose="02040503050406030204" pitchFamily="18" charset="0"/>
                        <a:ea typeface="Cambria Math" panose="02040503050406030204" pitchFamily="18" charset="0"/>
                      </a:rPr>
                      <m:t>=</m:t>
                    </m:r>
                  </m:oMath>
                </m:oMathPara>
              </a14:m>
              <a:endParaRPr lang="en-US" sz="1000">
                <a:latin typeface="Cambria Math" panose="02040503050406030204" pitchFamily="18" charset="0"/>
                <a:ea typeface="Cambria Math" panose="02040503050406030204" pitchFamily="18" charset="0"/>
              </a:endParaRPr>
            </a:p>
          </xdr:txBody>
        </xdr:sp>
      </mc:Choice>
      <mc:Fallback xmlns="">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845366" y="22126989"/>
              <a:ext cx="1922709" cy="372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ea typeface="Cambria Math" panose="02040503050406030204" pitchFamily="18" charset="0"/>
                </a:rPr>
                <a:t>+</a:t>
              </a:r>
              <a:r>
                <a:rPr lang="en-US" sz="1000" i="0">
                  <a:latin typeface="Cambria Math" panose="02040503050406030204" pitchFamily="18" charset="0"/>
                  <a:ea typeface="Cambria Math" panose="02040503050406030204" pitchFamily="18" charset="0"/>
                </a:rPr>
                <a:t>𝜑</a:t>
              </a:r>
              <a:r>
                <a:rPr lang="en-US" sz="1000" b="0" i="0">
                  <a:latin typeface="Cambria Math" panose="02040503050406030204" pitchFamily="18" charset="0"/>
                  <a:ea typeface="Cambria Math" panose="02040503050406030204" pitchFamily="18" charset="0"/>
                </a:rPr>
                <a:t>𝑀_𝑛=𝜑𝐴_𝑆 𝑓_𝑦 (𝑑_𝑆−𝑎/2)=</a:t>
              </a:r>
              <a:endParaRPr lang="en-US" sz="1000">
                <a:latin typeface="Cambria Math" panose="02040503050406030204" pitchFamily="18" charset="0"/>
                <a:ea typeface="Cambria Math" panose="02040503050406030204" pitchFamily="18" charset="0"/>
              </a:endParaRPr>
            </a:p>
          </xdr:txBody>
        </xdr:sp>
      </mc:Fallback>
    </mc:AlternateContent>
    <xdr:clientData/>
  </xdr:twoCellAnchor>
  <xdr:oneCellAnchor>
    <xdr:from>
      <xdr:col>2</xdr:col>
      <xdr:colOff>43488</xdr:colOff>
      <xdr:row>140</xdr:row>
      <xdr:rowOff>109201</xdr:rowOff>
    </xdr:from>
    <xdr:ext cx="1500810" cy="198783"/>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275003" y="21718443"/>
              <a:ext cx="1500810" cy="198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m:t>
                    </m:r>
                    <m:r>
                      <a:rPr lang="en-US" sz="1000" b="0" i="1">
                        <a:latin typeface="Cambria Math" panose="02040503050406030204" pitchFamily="18" charset="0"/>
                        <a:ea typeface="Cambria Math" panose="02040503050406030204" pitchFamily="18" charset="0"/>
                      </a:rPr>
                      <m:t>𝜑</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&gt;+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𝑢</m:t>
                        </m:r>
                      </m:sub>
                    </m:sSub>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275003" y="21718443"/>
              <a:ext cx="1500810" cy="198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000" b="0" i="0">
                  <a:latin typeface="Cambria Math" panose="02040503050406030204" pitchFamily="18" charset="0"/>
                </a:rPr>
                <a:t>𝐶ℎ𝑒𝑐𝑘+</a:t>
              </a:r>
              <a:r>
                <a:rPr lang="en-US" sz="1000" b="0" i="0">
                  <a:latin typeface="Cambria Math" panose="02040503050406030204" pitchFamily="18" charset="0"/>
                  <a:ea typeface="Cambria Math" panose="02040503050406030204" pitchFamily="18" charset="0"/>
                </a:rPr>
                <a:t>𝜑𝑀_𝑛&gt;+𝑀_𝑢:</a:t>
              </a:r>
              <a:endParaRPr lang="en-US" sz="1000"/>
            </a:p>
          </xdr:txBody>
        </xdr:sp>
      </mc:Fallback>
    </mc:AlternateContent>
    <xdr:clientData/>
  </xdr:oneCellAnchor>
  <xdr:twoCellAnchor editAs="oneCell">
    <xdr:from>
      <xdr:col>0</xdr:col>
      <xdr:colOff>460481</xdr:colOff>
      <xdr:row>154</xdr:row>
      <xdr:rowOff>38485</xdr:rowOff>
    </xdr:from>
    <xdr:to>
      <xdr:col>2</xdr:col>
      <xdr:colOff>236490</xdr:colOff>
      <xdr:row>154</xdr:row>
      <xdr:rowOff>411203</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60481" y="23812500"/>
              <a:ext cx="1007524" cy="372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r>
                      <a:rPr lang="en-US" sz="1000" b="0" i="1">
                        <a:latin typeface="Cambria Math" panose="02040503050406030204" pitchFamily="18" charset="0"/>
                      </a:rPr>
                      <m:t>𝑎</m:t>
                    </m:r>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𝑠</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num>
                      <m:den>
                        <m:r>
                          <a:rPr lang="en-US" sz="1000" b="0" i="1">
                            <a:latin typeface="Cambria Math" panose="02040503050406030204" pitchFamily="18" charset="0"/>
                          </a:rPr>
                          <m:t>0.85</m:t>
                        </m:r>
                        <m:sSubSup>
                          <m:sSubSupPr>
                            <m:ctrlPr>
                              <a:rPr lang="en-US" sz="1000" b="0" i="1">
                                <a:latin typeface="Cambria Math" panose="02040503050406030204" pitchFamily="18" charset="0"/>
                              </a:rPr>
                            </m:ctrlPr>
                          </m:sSubSupPr>
                          <m:e>
                            <m:r>
                              <a:rPr lang="en-US" sz="1000" b="0" i="1">
                                <a:latin typeface="Cambria Math" panose="02040503050406030204" pitchFamily="18" charset="0"/>
                              </a:rPr>
                              <m:t>𝑓</m:t>
                            </m:r>
                          </m:e>
                          <m:sub>
                            <m:r>
                              <a:rPr lang="en-US" sz="1000" b="0" i="1">
                                <a:latin typeface="Cambria Math" panose="02040503050406030204" pitchFamily="18" charset="0"/>
                              </a:rPr>
                              <m:t>𝑐</m:t>
                            </m:r>
                          </m:sub>
                          <m:sup>
                            <m:r>
                              <a:rPr lang="en-US" sz="1000" b="0" i="1">
                                <a:latin typeface="Cambria Math" panose="02040503050406030204" pitchFamily="18" charset="0"/>
                              </a:rPr>
                              <m:t>′</m:t>
                            </m:r>
                          </m:sup>
                        </m:sSubSup>
                        <m:r>
                          <a:rPr lang="en-US" sz="1000" b="0" i="1">
                            <a:latin typeface="Cambria Math" panose="02040503050406030204" pitchFamily="18" charset="0"/>
                          </a:rPr>
                          <m:t>𝑏</m:t>
                        </m:r>
                      </m:den>
                    </m:f>
                    <m:r>
                      <a:rPr lang="en-US" sz="1000" b="0" i="1">
                        <a:latin typeface="Cambria Math" panose="02040503050406030204" pitchFamily="18" charset="0"/>
                      </a:rPr>
                      <m:t>=</m:t>
                    </m:r>
                  </m:oMath>
                </m:oMathPara>
              </a14:m>
              <a:endParaRPr lang="en-US" sz="1000">
                <a:latin typeface="Arial Narrow" panose="020B0606020202030204" pitchFamily="34" charset="0"/>
                <a:cs typeface="Arial" panose="020B0604020202020204" pitchFamily="34" charset="0"/>
              </a:endParaRPr>
            </a:p>
          </xdr:txBody>
        </xdr:sp>
      </mc:Choice>
      <mc:Fallback xmlns="">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60481" y="23812500"/>
              <a:ext cx="1007524" cy="372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𝑎=(𝐴_𝑠 𝑓_𝑦)/(0.85𝑓_𝑐^′ 𝑏)=</a:t>
              </a:r>
              <a:endParaRPr lang="en-US" sz="1000">
                <a:latin typeface="Arial Narrow" panose="020B0606020202030204" pitchFamily="34" charset="0"/>
                <a:cs typeface="Arial" panose="020B0604020202020204" pitchFamily="34" charset="0"/>
              </a:endParaRPr>
            </a:p>
          </xdr:txBody>
        </xdr:sp>
      </mc:Fallback>
    </mc:AlternateContent>
    <xdr:clientData/>
  </xdr:twoCellAnchor>
  <xdr:twoCellAnchor editAs="oneCell">
    <xdr:from>
      <xdr:col>3</xdr:col>
      <xdr:colOff>148771</xdr:colOff>
      <xdr:row>155</xdr:row>
      <xdr:rowOff>8283</xdr:rowOff>
    </xdr:from>
    <xdr:to>
      <xdr:col>6</xdr:col>
      <xdr:colOff>247650</xdr:colOff>
      <xdr:row>156</xdr:row>
      <xdr:rowOff>9523</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663246" y="36555708"/>
              <a:ext cx="1870529" cy="372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ea typeface="Cambria Math" panose="02040503050406030204" pitchFamily="18" charset="0"/>
                      </a:rPr>
                      <m:t>−</m:t>
                    </m:r>
                    <m:r>
                      <a:rPr lang="en-US" sz="1000" i="1">
                        <a:latin typeface="Cambria Math" panose="02040503050406030204" pitchFamily="18" charset="0"/>
                        <a:ea typeface="Cambria Math" panose="02040503050406030204" pitchFamily="18" charset="0"/>
                      </a:rPr>
                      <m:t>𝜑</m:t>
                    </m:r>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𝜑</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𝑠</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𝑠</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𝑎</m:t>
                            </m:r>
                          </m:num>
                          <m:den>
                            <m:r>
                              <a:rPr lang="en-US" sz="1000" b="0" i="1">
                                <a:latin typeface="Cambria Math" panose="02040503050406030204" pitchFamily="18" charset="0"/>
                                <a:ea typeface="Cambria Math" panose="02040503050406030204" pitchFamily="18" charset="0"/>
                              </a:rPr>
                              <m:t>2</m:t>
                            </m:r>
                          </m:den>
                        </m:f>
                      </m:e>
                    </m:d>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9" name="TextBox 8">
              <a:extLst>
                <a:ext uri="{FF2B5EF4-FFF2-40B4-BE49-F238E27FC236}">
                  <a16:creationId xmlns:a16="http://schemas.microsoft.com/office/drawing/2014/main" id="{00000000-0008-0000-0000-00000D000000}"/>
                </a:ext>
              </a:extLst>
            </xdr:cNvPr>
            <xdr:cNvSpPr txBox="1"/>
          </xdr:nvSpPr>
          <xdr:spPr>
            <a:xfrm>
              <a:off x="1663246" y="36555708"/>
              <a:ext cx="1870529" cy="372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r>
                <a:rPr lang="en-US" sz="1000" b="0" i="0">
                  <a:latin typeface="Cambria Math" panose="02040503050406030204" pitchFamily="18" charset="0"/>
                  <a:ea typeface="Cambria Math" panose="02040503050406030204" pitchFamily="18" charset="0"/>
                </a:rPr>
                <a:t>−</a:t>
              </a:r>
              <a:r>
                <a:rPr lang="en-US" sz="1000" i="0">
                  <a:latin typeface="Cambria Math" panose="02040503050406030204" pitchFamily="18" charset="0"/>
                  <a:ea typeface="Cambria Math" panose="02040503050406030204" pitchFamily="18" charset="0"/>
                </a:rPr>
                <a:t>𝜑</a:t>
              </a:r>
              <a:r>
                <a:rPr lang="en-US" sz="1000" b="0" i="0">
                  <a:latin typeface="Cambria Math" panose="02040503050406030204" pitchFamily="18" charset="0"/>
                  <a:ea typeface="Cambria Math" panose="02040503050406030204" pitchFamily="18" charset="0"/>
                </a:rPr>
                <a:t>𝑀_𝑛=𝜑𝐴_𝑠 𝑓_𝑦 (𝑑_𝑠−𝑎/2)=</a:t>
              </a:r>
              <a:endParaRPr lang="en-US" sz="1000"/>
            </a:p>
          </xdr:txBody>
        </xdr:sp>
      </mc:Fallback>
    </mc:AlternateContent>
    <xdr:clientData/>
  </xdr:twoCellAnchor>
  <xdr:twoCellAnchor editAs="oneCell">
    <xdr:from>
      <xdr:col>2</xdr:col>
      <xdr:colOff>43391</xdr:colOff>
      <xdr:row>157</xdr:row>
      <xdr:rowOff>128994</xdr:rowOff>
    </xdr:from>
    <xdr:to>
      <xdr:col>4</xdr:col>
      <xdr:colOff>359544</xdr:colOff>
      <xdr:row>159</xdr:row>
      <xdr:rowOff>30125</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74906" y="24860320"/>
              <a:ext cx="1547668" cy="189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r>
                      <a:rPr lang="en-US" sz="1000" b="0" i="1">
                        <a:latin typeface="Cambria Math" panose="02040503050406030204" pitchFamily="18" charset="0"/>
                        <a:ea typeface="Cambria Math" panose="02040503050406030204" pitchFamily="18" charset="0"/>
                      </a:rPr>
                      <m:t>𝜑</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&gt;−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𝑢</m:t>
                        </m:r>
                      </m:sub>
                    </m:sSub>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74906" y="24860320"/>
              <a:ext cx="1547668" cy="189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𝐶ℎ𝑒𝑐𝑘 −</a:t>
              </a:r>
              <a:r>
                <a:rPr lang="en-US" sz="1000" b="0" i="0">
                  <a:latin typeface="Cambria Math" panose="02040503050406030204" pitchFamily="18" charset="0"/>
                  <a:ea typeface="Cambria Math" panose="02040503050406030204" pitchFamily="18" charset="0"/>
                </a:rPr>
                <a:t>𝜑𝑀_𝑛&gt;−𝑀_𝑢:</a:t>
              </a:r>
              <a:endParaRPr lang="en-US" sz="1000"/>
            </a:p>
          </xdr:txBody>
        </xdr:sp>
      </mc:Fallback>
    </mc:AlternateContent>
    <xdr:clientData/>
  </xdr:twoCellAnchor>
  <xdr:oneCellAnchor>
    <xdr:from>
      <xdr:col>5</xdr:col>
      <xdr:colOff>91781</xdr:colOff>
      <xdr:row>149</xdr:row>
      <xdr:rowOff>97349</xdr:rowOff>
    </xdr:from>
    <xdr:ext cx="232371" cy="270015"/>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215981" y="23795549"/>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3</xdr:col>
      <xdr:colOff>285605</xdr:colOff>
      <xdr:row>154</xdr:row>
      <xdr:rowOff>43898</xdr:rowOff>
    </xdr:from>
    <xdr:ext cx="157370" cy="28658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132878" y="23817913"/>
          <a:ext cx="157370" cy="28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5</xdr:col>
      <xdr:colOff>190024</xdr:colOff>
      <xdr:row>132</xdr:row>
      <xdr:rowOff>100283</xdr:rowOff>
    </xdr:from>
    <xdr:ext cx="157370" cy="28658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312107" y="19833389"/>
          <a:ext cx="157370" cy="28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twoCellAnchor editAs="oneCell">
    <xdr:from>
      <xdr:col>2</xdr:col>
      <xdr:colOff>76970</xdr:colOff>
      <xdr:row>165</xdr:row>
      <xdr:rowOff>67350</xdr:rowOff>
    </xdr:from>
    <xdr:to>
      <xdr:col>7</xdr:col>
      <xdr:colOff>115070</xdr:colOff>
      <xdr:row>165</xdr:row>
      <xdr:rowOff>448350</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308485" y="25962842"/>
              <a:ext cx="3092835"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𝑐𝑟</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3</m:t>
                        </m:r>
                      </m:sub>
                    </m:sSub>
                    <m:d>
                      <m:dPr>
                        <m:begChr m:val="["/>
                        <m:endChr m:val="]"/>
                        <m:ctrlPr>
                          <a:rPr lang="en-US" sz="1000" b="0" i="1">
                            <a:latin typeface="Cambria Math" panose="02040503050406030204" pitchFamily="18" charset="0"/>
                          </a:rPr>
                        </m:ctrlPr>
                      </m:dPr>
                      <m:e>
                        <m:d>
                          <m:dPr>
                            <m:ctrlPr>
                              <a:rPr lang="en-US" sz="1000" b="0" i="1">
                                <a:latin typeface="Cambria Math" panose="02040503050406030204" pitchFamily="18" charset="0"/>
                              </a:rPr>
                            </m:ctrlPr>
                          </m:dPr>
                          <m:e>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1</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𝑟</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2</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𝑐𝑝𝑒</m:t>
                                </m:r>
                              </m:sub>
                            </m:sSub>
                          </m:e>
                        </m:d>
                        <m:sSub>
                          <m:sSubPr>
                            <m:ctrlPr>
                              <a:rPr lang="en-US" sz="1000" b="0" i="1">
                                <a:latin typeface="Cambria Math" panose="02040503050406030204" pitchFamily="18" charset="0"/>
                              </a:rPr>
                            </m:ctrlPr>
                          </m:sSubPr>
                          <m:e>
                            <m:r>
                              <a:rPr lang="en-US" sz="1000" b="0" i="1">
                                <a:latin typeface="Cambria Math" panose="02040503050406030204" pitchFamily="18" charset="0"/>
                              </a:rPr>
                              <m:t>𝑆</m:t>
                            </m:r>
                          </m:e>
                          <m:sub>
                            <m:r>
                              <a:rPr lang="en-US" sz="1000" b="0" i="1">
                                <a:latin typeface="Cambria Math" panose="02040503050406030204" pitchFamily="18" charset="0"/>
                              </a:rPr>
                              <m:t>𝑐</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𝑑𝑛𝑐</m:t>
                            </m:r>
                          </m:sub>
                        </m:sSub>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𝑆</m:t>
                                    </m:r>
                                  </m:e>
                                  <m:sub>
                                    <m:r>
                                      <a:rPr lang="en-US" sz="1000" b="0" i="1">
                                        <a:latin typeface="Cambria Math" panose="02040503050406030204" pitchFamily="18" charset="0"/>
                                      </a:rPr>
                                      <m:t>𝑐</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𝑆</m:t>
                                    </m:r>
                                  </m:e>
                                  <m:sub>
                                    <m:r>
                                      <a:rPr lang="en-US" sz="1000" b="0" i="1">
                                        <a:latin typeface="Cambria Math" panose="02040503050406030204" pitchFamily="18" charset="0"/>
                                      </a:rPr>
                                      <m:t>𝑛𝑐</m:t>
                                    </m:r>
                                  </m:sub>
                                </m:sSub>
                              </m:den>
                            </m:f>
                            <m:r>
                              <a:rPr lang="en-US" sz="1000" b="0" i="1">
                                <a:latin typeface="Cambria Math" panose="02040503050406030204" pitchFamily="18" charset="0"/>
                              </a:rPr>
                              <m:t>−1</m:t>
                            </m:r>
                          </m:e>
                        </m:d>
                      </m:e>
                    </m:d>
                  </m:oMath>
                </m:oMathPara>
              </a14:m>
              <a:endParaRPr lang="en-US" sz="1000"/>
            </a:p>
          </xdr:txBody>
        </xdr:sp>
      </mc:Choice>
      <mc:Fallback xmlns="">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308485" y="25962842"/>
              <a:ext cx="3092835"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𝑀_𝑐𝑟=</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3 [(</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1 𝑓_𝑟+</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2 𝑓_𝑐𝑝𝑒 ) 𝑆_𝑐−𝑀_𝑑𝑛𝑐 (𝑆_𝑐/𝑆_𝑛𝑐 −1)]</a:t>
              </a:r>
              <a:endParaRPr lang="en-US" sz="1000"/>
            </a:p>
          </xdr:txBody>
        </xdr:sp>
      </mc:Fallback>
    </mc:AlternateContent>
    <xdr:clientData/>
  </xdr:twoCellAnchor>
  <xdr:twoCellAnchor editAs="oneCell">
    <xdr:from>
      <xdr:col>2</xdr:col>
      <xdr:colOff>100025</xdr:colOff>
      <xdr:row>168</xdr:row>
      <xdr:rowOff>6593</xdr:rowOff>
    </xdr:from>
    <xdr:to>
      <xdr:col>3</xdr:col>
      <xdr:colOff>355859</xdr:colOff>
      <xdr:row>169</xdr:row>
      <xdr:rowOff>10220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281125" y="28057718"/>
              <a:ext cx="846384" cy="156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𝑐𝑟</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3</m:t>
                        </m:r>
                      </m:sub>
                    </m:sSub>
                    <m:sSub>
                      <m:sSubPr>
                        <m:ctrlPr>
                          <a:rPr lang="en-US" sz="1000" b="0" i="1">
                            <a:solidFill>
                              <a:schemeClr val="tx1"/>
                            </a:solidFill>
                            <a:effectLst/>
                            <a:latin typeface="Cambria Math" panose="02040503050406030204" pitchFamily="18" charset="0"/>
                            <a:ea typeface="+mn-ea"/>
                            <a:cs typeface="+mn-cs"/>
                          </a:rPr>
                        </m:ctrlPr>
                      </m:sSubPr>
                      <m:e>
                        <m:r>
                          <a:rPr lang="en-US" sz="1000" b="0" i="1">
                            <a:solidFill>
                              <a:schemeClr val="tx1"/>
                            </a:solidFill>
                            <a:effectLst/>
                            <a:latin typeface="Cambria Math" panose="02040503050406030204" pitchFamily="18" charset="0"/>
                            <a:ea typeface="+mn-ea"/>
                            <a:cs typeface="+mn-cs"/>
                          </a:rPr>
                          <m:t>𝛾</m:t>
                        </m:r>
                      </m:e>
                      <m:sub>
                        <m:r>
                          <a:rPr lang="en-US" sz="1000" b="0" i="1">
                            <a:solidFill>
                              <a:schemeClr val="tx1"/>
                            </a:solidFill>
                            <a:effectLst/>
                            <a:latin typeface="Cambria Math" panose="02040503050406030204" pitchFamily="18" charset="0"/>
                            <a:ea typeface="+mn-ea"/>
                            <a:cs typeface="+mn-cs"/>
                          </a:rPr>
                          <m:t>1</m:t>
                        </m:r>
                      </m:sub>
                    </m:sSub>
                    <m:sSub>
                      <m:sSubPr>
                        <m:ctrlPr>
                          <a:rPr lang="en-US" sz="1000" b="0" i="1">
                            <a:solidFill>
                              <a:schemeClr val="tx1"/>
                            </a:solidFill>
                            <a:effectLst/>
                            <a:latin typeface="Cambria Math" panose="02040503050406030204" pitchFamily="18" charset="0"/>
                            <a:ea typeface="+mn-ea"/>
                            <a:cs typeface="+mn-cs"/>
                          </a:rPr>
                        </m:ctrlPr>
                      </m:sSubPr>
                      <m:e>
                        <m:r>
                          <a:rPr lang="en-US" sz="1000" b="0" i="1">
                            <a:solidFill>
                              <a:schemeClr val="tx1"/>
                            </a:solidFill>
                            <a:effectLst/>
                            <a:latin typeface="Cambria Math" panose="02040503050406030204" pitchFamily="18" charset="0"/>
                            <a:ea typeface="+mn-ea"/>
                            <a:cs typeface="+mn-cs"/>
                          </a:rPr>
                          <m:t>𝑓</m:t>
                        </m:r>
                      </m:e>
                      <m:sub>
                        <m:r>
                          <a:rPr lang="en-US" sz="1000" b="0" i="1">
                            <a:solidFill>
                              <a:schemeClr val="tx1"/>
                            </a:solidFill>
                            <a:effectLst/>
                            <a:latin typeface="Cambria Math" panose="02040503050406030204" pitchFamily="18" charset="0"/>
                            <a:ea typeface="+mn-ea"/>
                            <a:cs typeface="+mn-cs"/>
                          </a:rPr>
                          <m:t>𝑟</m:t>
                        </m:r>
                      </m:sub>
                    </m:sSub>
                    <m:sSub>
                      <m:sSubPr>
                        <m:ctrlPr>
                          <a:rPr lang="en-US" sz="1000" b="0" i="1">
                            <a:solidFill>
                              <a:schemeClr val="tx1"/>
                            </a:solidFill>
                            <a:effectLst/>
                            <a:latin typeface="Cambria Math" panose="02040503050406030204" pitchFamily="18" charset="0"/>
                            <a:ea typeface="+mn-ea"/>
                            <a:cs typeface="+mn-cs"/>
                          </a:rPr>
                        </m:ctrlPr>
                      </m:sSubPr>
                      <m:e>
                        <m:r>
                          <a:rPr lang="en-US" sz="1000" b="0" i="1">
                            <a:solidFill>
                              <a:schemeClr val="tx1"/>
                            </a:solidFill>
                            <a:effectLst/>
                            <a:latin typeface="Cambria Math" panose="02040503050406030204" pitchFamily="18" charset="0"/>
                            <a:ea typeface="+mn-ea"/>
                            <a:cs typeface="+mn-cs"/>
                          </a:rPr>
                          <m:t>𝑆</m:t>
                        </m:r>
                      </m:e>
                      <m:sub>
                        <m:r>
                          <a:rPr lang="en-US" sz="1000" b="0" i="1">
                            <a:solidFill>
                              <a:schemeClr val="tx1"/>
                            </a:solidFill>
                            <a:effectLst/>
                            <a:latin typeface="Cambria Math" panose="02040503050406030204" pitchFamily="18" charset="0"/>
                            <a:ea typeface="+mn-ea"/>
                            <a:cs typeface="+mn-cs"/>
                          </a:rPr>
                          <m:t>𝑐</m:t>
                        </m:r>
                      </m:sub>
                    </m:sSub>
                  </m:oMath>
                </m:oMathPara>
              </a14:m>
              <a:endParaRPr lang="en-US" sz="1000"/>
            </a:p>
          </xdr:txBody>
        </xdr:sp>
      </mc:Choice>
      <mc:Fallback xmlns="">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281125" y="28057718"/>
              <a:ext cx="846384" cy="156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𝑀_𝑐𝑟=</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3</a:t>
              </a:r>
              <a:r>
                <a:rPr lang="en-US" sz="1000" b="0" i="0">
                  <a:solidFill>
                    <a:schemeClr val="tx1"/>
                  </a:solidFill>
                  <a:effectLst/>
                  <a:latin typeface="Cambria Math" panose="02040503050406030204" pitchFamily="18" charset="0"/>
                  <a:ea typeface="+mn-ea"/>
                  <a:cs typeface="+mn-cs"/>
                </a:rPr>
                <a:t> 𝛾_1 𝑓_𝑟 𝑆_𝑐</a:t>
              </a:r>
              <a:endParaRPr lang="en-US" sz="1000"/>
            </a:p>
          </xdr:txBody>
        </xdr:sp>
      </mc:Fallback>
    </mc:AlternateContent>
    <xdr:clientData/>
  </xdr:twoCellAnchor>
  <xdr:twoCellAnchor editAs="oneCell">
    <xdr:from>
      <xdr:col>1</xdr:col>
      <xdr:colOff>500718</xdr:colOff>
      <xdr:row>172</xdr:row>
      <xdr:rowOff>80530</xdr:rowOff>
    </xdr:from>
    <xdr:to>
      <xdr:col>3</xdr:col>
      <xdr:colOff>414962</xdr:colOff>
      <xdr:row>173</xdr:row>
      <xdr:rowOff>307590</xdr:rowOff>
    </xdr:to>
    <mc:AlternateContent xmlns:mc="http://schemas.openxmlformats.org/markup-compatibility/2006" xmlns:a14="http://schemas.microsoft.com/office/drawing/2010/main">
      <mc:Choice Requires="a14">
        <xdr:sp macro="" textlink="">
          <xdr:nvSpPr>
            <xdr:cNvPr id="16" name="Text Box 35">
              <a:extLst>
                <a:ext uri="{FF2B5EF4-FFF2-40B4-BE49-F238E27FC236}">
                  <a16:creationId xmlns:a16="http://schemas.microsoft.com/office/drawing/2014/main" id="{00000000-0008-0000-0000-000010000000}"/>
                </a:ext>
              </a:extLst>
            </xdr:cNvPr>
            <xdr:cNvSpPr txBox="1">
              <a:spLocks noChangeArrowheads="1"/>
            </xdr:cNvSpPr>
          </xdr:nvSpPr>
          <xdr:spPr bwMode="auto">
            <a:xfrm>
              <a:off x="1116476" y="27375909"/>
              <a:ext cx="1145759" cy="371379"/>
            </a:xfrm>
            <a:prstGeom prst="rect">
              <a:avLst/>
            </a:prstGeom>
            <a:noFill/>
            <a:ln w="9525">
              <a:noFill/>
              <a:miter lim="800000"/>
              <a:headEnd/>
              <a:tailEnd/>
            </a:ln>
          </xdr:spPr>
          <xdr:txBody>
            <a:bodyPr wrap="none" lIns="27432" tIns="22860" rIns="0" bIns="0" anchor="ctr" upright="1">
              <a:noAutofit/>
            </a:bodyPr>
            <a:lstStyle/>
            <a:p>
              <a:pPr/>
              <a14:m>
                <m:oMathPara xmlns:m="http://schemas.openxmlformats.org/officeDocument/2006/math">
                  <m:oMathParaPr>
                    <m:jc m:val="righ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𝑟</m:t>
                        </m:r>
                      </m:sub>
                    </m:sSub>
                    <m:r>
                      <a:rPr lang="en-US" sz="1000" b="0" i="1">
                        <a:latin typeface="Cambria Math" panose="02040503050406030204" pitchFamily="18" charset="0"/>
                      </a:rPr>
                      <m:t>=0.24</m:t>
                    </m:r>
                    <m:r>
                      <a:rPr lang="en-US" sz="1000" b="0" i="1">
                        <a:latin typeface="Cambria Math" panose="02040503050406030204" pitchFamily="18" charset="0"/>
                        <a:ea typeface="Cambria Math" panose="02040503050406030204" pitchFamily="18" charset="0"/>
                      </a:rPr>
                      <m:t>𝜆</m:t>
                    </m:r>
                    <m:rad>
                      <m:radPr>
                        <m:degHide m:val="on"/>
                        <m:ctrlPr>
                          <a:rPr lang="en-US" sz="1000" b="0" i="1">
                            <a:latin typeface="Cambria Math" panose="02040503050406030204" pitchFamily="18" charset="0"/>
                          </a:rPr>
                        </m:ctrlPr>
                      </m:radPr>
                      <m:deg/>
                      <m:e>
                        <m:sSubSup>
                          <m:sSubSupPr>
                            <m:ctrlPr>
                              <a:rPr lang="en-US" sz="1000" b="0" i="1">
                                <a:latin typeface="Cambria Math" panose="02040503050406030204" pitchFamily="18" charset="0"/>
                              </a:rPr>
                            </m:ctrlPr>
                          </m:sSubSupPr>
                          <m:e>
                            <m:r>
                              <a:rPr lang="en-US" sz="1000" b="0" i="1">
                                <a:latin typeface="Cambria Math" panose="02040503050406030204" pitchFamily="18" charset="0"/>
                              </a:rPr>
                              <m:t>𝑓</m:t>
                            </m:r>
                          </m:e>
                          <m:sub>
                            <m:r>
                              <a:rPr lang="en-US" sz="1000" b="0" i="1">
                                <a:latin typeface="Cambria Math" panose="02040503050406030204" pitchFamily="18" charset="0"/>
                              </a:rPr>
                              <m:t>𝑐</m:t>
                            </m:r>
                          </m:sub>
                          <m:sup>
                            <m:r>
                              <a:rPr lang="en-US" sz="1000" b="0" i="1">
                                <a:latin typeface="Cambria Math" panose="02040503050406030204" pitchFamily="18" charset="0"/>
                              </a:rPr>
                              <m:t>′</m:t>
                            </m:r>
                          </m:sup>
                        </m:sSubSup>
                      </m:e>
                    </m:rad>
                    <m:r>
                      <a:rPr lang="en-US" sz="1000" b="0" i="1">
                        <a:latin typeface="Cambria Math" panose="02040503050406030204" pitchFamily="18" charset="0"/>
                      </a:rPr>
                      <m:t>=</m:t>
                    </m:r>
                  </m:oMath>
                </m:oMathPara>
              </a14:m>
              <a:endParaRPr lang="en-US" sz="1400"/>
            </a:p>
          </xdr:txBody>
        </xdr:sp>
      </mc:Choice>
      <mc:Fallback xmlns="">
        <xdr:sp macro="" textlink="">
          <xdr:nvSpPr>
            <xdr:cNvPr id="16" name="Text Box 35">
              <a:extLst>
                <a:ext uri="{FF2B5EF4-FFF2-40B4-BE49-F238E27FC236}">
                  <a16:creationId xmlns:a16="http://schemas.microsoft.com/office/drawing/2014/main" id="{00000000-0008-0000-0000-000010000000}"/>
                </a:ext>
              </a:extLst>
            </xdr:cNvPr>
            <xdr:cNvSpPr txBox="1">
              <a:spLocks noChangeArrowheads="1"/>
            </xdr:cNvSpPr>
          </xdr:nvSpPr>
          <xdr:spPr bwMode="auto">
            <a:xfrm>
              <a:off x="1116476" y="27375909"/>
              <a:ext cx="1145759" cy="371379"/>
            </a:xfrm>
            <a:prstGeom prst="rect">
              <a:avLst/>
            </a:prstGeom>
            <a:noFill/>
            <a:ln w="9525">
              <a:noFill/>
              <a:miter lim="800000"/>
              <a:headEnd/>
              <a:tailEnd/>
            </a:ln>
          </xdr:spPr>
          <xdr:txBody>
            <a:bodyPr wrap="none" lIns="27432" tIns="22860" rIns="0" bIns="0" anchor="ctr" upright="1">
              <a:noAutofit/>
            </a:bodyPr>
            <a:lstStyle/>
            <a:p>
              <a:pPr/>
              <a:r>
                <a:rPr lang="en-US" sz="1000" b="0" i="0">
                  <a:latin typeface="Cambria Math" panose="02040503050406030204" pitchFamily="18" charset="0"/>
                </a:rPr>
                <a:t>𝑓_𝑟=0.24</a:t>
              </a:r>
              <a:r>
                <a:rPr lang="en-US" sz="1000" b="0" i="0">
                  <a:latin typeface="Cambria Math" panose="02040503050406030204" pitchFamily="18" charset="0"/>
                  <a:ea typeface="Cambria Math" panose="02040503050406030204" pitchFamily="18" charset="0"/>
                </a:rPr>
                <a:t>𝜆</a:t>
              </a:r>
              <a:r>
                <a:rPr lang="en-US" sz="1000" b="0" i="0">
                  <a:latin typeface="Cambria Math" panose="02040503050406030204" pitchFamily="18" charset="0"/>
                </a:rPr>
                <a:t>√(𝑓_𝑐^′ )=</a:t>
              </a:r>
              <a:endParaRPr lang="en-US" sz="1400"/>
            </a:p>
          </xdr:txBody>
        </xdr:sp>
      </mc:Fallback>
    </mc:AlternateContent>
    <xdr:clientData/>
  </xdr:twoCellAnchor>
  <xdr:twoCellAnchor editAs="oneCell">
    <xdr:from>
      <xdr:col>3</xdr:col>
      <xdr:colOff>577273</xdr:colOff>
      <xdr:row>173</xdr:row>
      <xdr:rowOff>312689</xdr:rowOff>
    </xdr:from>
    <xdr:to>
      <xdr:col>6</xdr:col>
      <xdr:colOff>86443</xdr:colOff>
      <xdr:row>174</xdr:row>
      <xdr:rowOff>371377</xdr:rowOff>
    </xdr:to>
    <mc:AlternateContent xmlns:mc="http://schemas.openxmlformats.org/markup-compatibility/2006" xmlns:a14="http://schemas.microsoft.com/office/drawing/2010/main">
      <mc:Choice Requires="a14">
        <xdr:sp macro="" textlink="">
          <xdr:nvSpPr>
            <xdr:cNvPr id="17" name="Text Box 35">
              <a:extLst>
                <a:ext uri="{FF2B5EF4-FFF2-40B4-BE49-F238E27FC236}">
                  <a16:creationId xmlns:a16="http://schemas.microsoft.com/office/drawing/2014/main" id="{00000000-0008-0000-0000-000011000000}"/>
                </a:ext>
              </a:extLst>
            </xdr:cNvPr>
            <xdr:cNvSpPr txBox="1">
              <a:spLocks noChangeArrowheads="1"/>
            </xdr:cNvSpPr>
          </xdr:nvSpPr>
          <xdr:spPr bwMode="auto">
            <a:xfrm>
              <a:off x="2424546" y="27752386"/>
              <a:ext cx="1332389" cy="381000"/>
            </a:xfrm>
            <a:prstGeom prst="rect">
              <a:avLst/>
            </a:prstGeom>
            <a:noFill/>
            <a:ln w="9525">
              <a:noFill/>
              <a:miter lim="800000"/>
              <a:headEnd/>
              <a:tailEnd/>
            </a:ln>
          </xdr:spPr>
          <xdr:txBody>
            <a:bodyPr wrap="none" lIns="27432" tIns="22860" rIns="0" bIns="0" anchor="t" upright="1">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𝑆</m:t>
                        </m:r>
                      </m:e>
                      <m:sub>
                        <m:r>
                          <a:rPr lang="en-US" sz="1000" b="0" i="1">
                            <a:latin typeface="Cambria Math" panose="02040503050406030204" pitchFamily="18" charset="0"/>
                          </a:rPr>
                          <m:t>𝑐</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𝑏</m:t>
                        </m:r>
                        <m:sSup>
                          <m:sSupPr>
                            <m:ctrlPr>
                              <a:rPr lang="en-US" sz="1000" b="0" i="1">
                                <a:latin typeface="Cambria Math" panose="02040503050406030204" pitchFamily="18" charset="0"/>
                              </a:rPr>
                            </m:ctrlPr>
                          </m:sSupPr>
                          <m:e>
                            <m:r>
                              <a:rPr lang="en-US" sz="1000" b="0" i="1">
                                <a:latin typeface="Cambria Math" panose="02040503050406030204" pitchFamily="18" charset="0"/>
                              </a:rPr>
                              <m:t>h</m:t>
                            </m:r>
                          </m:e>
                          <m:sup>
                            <m:r>
                              <a:rPr lang="en-US" sz="1000" b="0" i="1">
                                <a:latin typeface="Cambria Math" panose="02040503050406030204" pitchFamily="18" charset="0"/>
                              </a:rPr>
                              <m:t>2</m:t>
                            </m:r>
                          </m:sup>
                        </m:sSup>
                      </m:num>
                      <m:den>
                        <m:r>
                          <a:rPr lang="en-US" sz="1000" b="0" i="1">
                            <a:latin typeface="Cambria Math" panose="02040503050406030204" pitchFamily="18" charset="0"/>
                          </a:rPr>
                          <m:t>6</m:t>
                        </m:r>
                      </m:den>
                    </m:f>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𝑏</m:t>
                        </m:r>
                        <m:sSubSup>
                          <m:sSubSupPr>
                            <m:ctrlPr>
                              <a:rPr lang="en-US" sz="1000" b="0" i="1">
                                <a:latin typeface="Cambria Math" panose="02040503050406030204" pitchFamily="18" charset="0"/>
                              </a:rPr>
                            </m:ctrlPr>
                          </m:sSubSupPr>
                          <m:e>
                            <m:r>
                              <a:rPr lang="en-US" sz="1000" b="0" i="1">
                                <a:latin typeface="Cambria Math" panose="02040503050406030204" pitchFamily="18" charset="0"/>
                              </a:rPr>
                              <m:t>𝑡</m:t>
                            </m:r>
                          </m:e>
                          <m:sub>
                            <m:r>
                              <a:rPr lang="en-US" sz="1000" b="0" i="1">
                                <a:latin typeface="Cambria Math" panose="02040503050406030204" pitchFamily="18" charset="0"/>
                              </a:rPr>
                              <m:t>𝐷𝑒𝑐𝑘</m:t>
                            </m:r>
                          </m:sub>
                          <m:sup>
                            <m:r>
                              <a:rPr lang="en-US" sz="1000" b="0" i="1">
                                <a:latin typeface="Cambria Math" panose="02040503050406030204" pitchFamily="18" charset="0"/>
                              </a:rPr>
                              <m:t>2</m:t>
                            </m:r>
                          </m:sup>
                        </m:sSubSup>
                      </m:num>
                      <m:den>
                        <m:r>
                          <a:rPr lang="en-US" sz="1000" b="0" i="1">
                            <a:latin typeface="Cambria Math" panose="02040503050406030204" pitchFamily="18" charset="0"/>
                          </a:rPr>
                          <m:t>6</m:t>
                        </m:r>
                      </m:den>
                    </m:f>
                    <m:r>
                      <a:rPr lang="en-US" sz="1000" b="0" i="1">
                        <a:latin typeface="Cambria Math" panose="02040503050406030204" pitchFamily="18" charset="0"/>
                      </a:rPr>
                      <m:t>=</m:t>
                    </m:r>
                  </m:oMath>
                </m:oMathPara>
              </a14:m>
              <a:endParaRPr lang="en-US" sz="1100"/>
            </a:p>
          </xdr:txBody>
        </xdr:sp>
      </mc:Choice>
      <mc:Fallback xmlns="">
        <xdr:sp macro="" textlink="">
          <xdr:nvSpPr>
            <xdr:cNvPr id="17" name="Text Box 35">
              <a:extLst>
                <a:ext uri="{FF2B5EF4-FFF2-40B4-BE49-F238E27FC236}">
                  <a16:creationId xmlns:a16="http://schemas.microsoft.com/office/drawing/2014/main" id="{00000000-0008-0000-0000-000011000000}"/>
                </a:ext>
              </a:extLst>
            </xdr:cNvPr>
            <xdr:cNvSpPr txBox="1">
              <a:spLocks noChangeArrowheads="1"/>
            </xdr:cNvSpPr>
          </xdr:nvSpPr>
          <xdr:spPr bwMode="auto">
            <a:xfrm>
              <a:off x="2424546" y="27752386"/>
              <a:ext cx="1332389" cy="381000"/>
            </a:xfrm>
            <a:prstGeom prst="rect">
              <a:avLst/>
            </a:prstGeom>
            <a:noFill/>
            <a:ln w="9525">
              <a:noFill/>
              <a:miter lim="800000"/>
              <a:headEnd/>
              <a:tailEnd/>
            </a:ln>
          </xdr:spPr>
          <xdr:txBody>
            <a:bodyPr wrap="none" lIns="27432" tIns="22860" rIns="0" bIns="0" anchor="t" upright="1">
              <a:noAutofit/>
            </a:bodyPr>
            <a:lstStyle/>
            <a:p>
              <a:pPr/>
              <a:r>
                <a:rPr lang="en-US" sz="1000" b="0" i="0">
                  <a:latin typeface="Cambria Math" panose="02040503050406030204" pitchFamily="18" charset="0"/>
                </a:rPr>
                <a:t>𝑆_𝑐=(𝑏ℎ^2)/6=(𝑏𝑡_𝐷𝑒𝑐𝑘^2)/6=</a:t>
              </a:r>
              <a:endParaRPr lang="en-US" sz="1100"/>
            </a:p>
          </xdr:txBody>
        </xdr:sp>
      </mc:Fallback>
    </mc:AlternateContent>
    <xdr:clientData/>
  </xdr:twoCellAnchor>
  <xdr:twoCellAnchor editAs="oneCell">
    <xdr:from>
      <xdr:col>0</xdr:col>
      <xdr:colOff>72259</xdr:colOff>
      <xdr:row>177</xdr:row>
      <xdr:rowOff>99951</xdr:rowOff>
    </xdr:from>
    <xdr:to>
      <xdr:col>2</xdr:col>
      <xdr:colOff>28900</xdr:colOff>
      <xdr:row>178</xdr:row>
      <xdr:rowOff>92615</xdr:rowOff>
    </xdr:to>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2259" y="41771826"/>
              <a:ext cx="1175841" cy="1577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m:t>
                    </m:r>
                    <m:r>
                      <a:rPr lang="en-US" sz="1000" b="0" i="1">
                        <a:latin typeface="Cambria Math" panose="02040503050406030204" pitchFamily="18" charset="0"/>
                        <a:ea typeface="Cambria Math" panose="02040503050406030204" pitchFamily="18" charset="0"/>
                      </a:rPr>
                      <m:t>𝜑</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𝑚𝑖𝑛</m:t>
                    </m:r>
                  </m:oMath>
                </m:oMathPara>
              </a14:m>
              <a:endParaRPr lang="en-US" sz="1000"/>
            </a:p>
          </xdr:txBody>
        </xdr:sp>
      </mc:Choice>
      <mc:Fallback xmlns="">
        <xdr:sp macro="" textlink="">
          <xdr:nvSpPr>
            <xdr:cNvPr id="18" name="TextBox 17">
              <a:extLst>
                <a:ext uri="{FF2B5EF4-FFF2-40B4-BE49-F238E27FC236}">
                  <a16:creationId xmlns:a16="http://schemas.microsoft.com/office/drawing/2014/main" id="{00000000-0008-0000-0000-00000A000000}"/>
                </a:ext>
              </a:extLst>
            </xdr:cNvPr>
            <xdr:cNvSpPr txBox="1"/>
          </xdr:nvSpPr>
          <xdr:spPr>
            <a:xfrm>
              <a:off x="72259" y="41771826"/>
              <a:ext cx="1175841" cy="1577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𝐶ℎ𝑒𝑐𝑘+</a:t>
              </a:r>
              <a:r>
                <a:rPr lang="en-US" sz="1000" b="0" i="0">
                  <a:latin typeface="Cambria Math" panose="02040503050406030204" pitchFamily="18" charset="0"/>
                  <a:ea typeface="Cambria Math" panose="02040503050406030204" pitchFamily="18" charset="0"/>
                </a:rPr>
                <a:t>𝜑𝑀_𝑛≥𝑚𝑖𝑛</a:t>
              </a:r>
              <a:endParaRPr lang="en-US" sz="1000"/>
            </a:p>
          </xdr:txBody>
        </xdr:sp>
      </mc:Fallback>
    </mc:AlternateContent>
    <xdr:clientData/>
  </xdr:twoCellAnchor>
  <xdr:twoCellAnchor editAs="oneCell">
    <xdr:from>
      <xdr:col>2</xdr:col>
      <xdr:colOff>323022</xdr:colOff>
      <xdr:row>176</xdr:row>
      <xdr:rowOff>468086</xdr:rowOff>
    </xdr:from>
    <xdr:to>
      <xdr:col>2</xdr:col>
      <xdr:colOff>457200</xdr:colOff>
      <xdr:row>179</xdr:row>
      <xdr:rowOff>74820</xdr:rowOff>
    </xdr:to>
    <xdr:sp macro="" textlink="">
      <xdr:nvSpPr>
        <xdr:cNvPr id="19" name="Left Brace 18">
          <a:extLst>
            <a:ext uri="{FF2B5EF4-FFF2-40B4-BE49-F238E27FC236}">
              <a16:creationId xmlns:a16="http://schemas.microsoft.com/office/drawing/2014/main" id="{00000000-0008-0000-0000-000013000000}"/>
            </a:ext>
          </a:extLst>
        </xdr:cNvPr>
        <xdr:cNvSpPr/>
      </xdr:nvSpPr>
      <xdr:spPr>
        <a:xfrm>
          <a:off x="1332672" y="41673236"/>
          <a:ext cx="134178" cy="403659"/>
        </a:xfrm>
        <a:prstGeom prst="leftBrace">
          <a:avLst>
            <a:gd name="adj1" fmla="val 22284"/>
            <a:gd name="adj2" fmla="val 48520"/>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0</xdr:col>
      <xdr:colOff>78827</xdr:colOff>
      <xdr:row>182</xdr:row>
      <xdr:rowOff>93383</xdr:rowOff>
    </xdr:from>
    <xdr:to>
      <xdr:col>2</xdr:col>
      <xdr:colOff>35468</xdr:colOff>
      <xdr:row>183</xdr:row>
      <xdr:rowOff>86043</xdr:rowOff>
    </xdr:to>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8827" y="42765383"/>
              <a:ext cx="1175841" cy="157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m:t>
                    </m:r>
                    <m:r>
                      <a:rPr lang="en-US" sz="1000" b="0" i="1">
                        <a:latin typeface="Cambria Math" panose="02040503050406030204" pitchFamily="18" charset="0"/>
                        <a:ea typeface="Cambria Math" panose="02040503050406030204" pitchFamily="18" charset="0"/>
                      </a:rPr>
                      <m:t>𝜑</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𝑚𝑖𝑛</m:t>
                    </m:r>
                  </m:oMath>
                </m:oMathPara>
              </a14:m>
              <a:endParaRPr lang="en-US" sz="1000"/>
            </a:p>
          </xdr:txBody>
        </xdr:sp>
      </mc:Choice>
      <mc:Fallback xmlns="">
        <xdr:sp macro="" textlink="">
          <xdr:nvSpPr>
            <xdr:cNvPr id="20" name="TextBox 19">
              <a:extLst>
                <a:ext uri="{FF2B5EF4-FFF2-40B4-BE49-F238E27FC236}">
                  <a16:creationId xmlns:a16="http://schemas.microsoft.com/office/drawing/2014/main" id="{00000000-0008-0000-0000-00000F000000}"/>
                </a:ext>
              </a:extLst>
            </xdr:cNvPr>
            <xdr:cNvSpPr txBox="1"/>
          </xdr:nvSpPr>
          <xdr:spPr>
            <a:xfrm>
              <a:off x="78827" y="42765383"/>
              <a:ext cx="1175841" cy="157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𝐶ℎ𝑒𝑐𝑘−</a:t>
              </a:r>
              <a:r>
                <a:rPr lang="en-US" sz="1000" b="0" i="0">
                  <a:latin typeface="Cambria Math" panose="02040503050406030204" pitchFamily="18" charset="0"/>
                  <a:ea typeface="Cambria Math" panose="02040503050406030204" pitchFamily="18" charset="0"/>
                </a:rPr>
                <a:t>𝜑𝑀_𝑛≥𝑚𝑖𝑛</a:t>
              </a:r>
              <a:endParaRPr lang="en-US" sz="1000"/>
            </a:p>
          </xdr:txBody>
        </xdr:sp>
      </mc:Fallback>
    </mc:AlternateContent>
    <xdr:clientData/>
  </xdr:twoCellAnchor>
  <xdr:twoCellAnchor editAs="oneCell">
    <xdr:from>
      <xdr:col>2</xdr:col>
      <xdr:colOff>323022</xdr:colOff>
      <xdr:row>181</xdr:row>
      <xdr:rowOff>468086</xdr:rowOff>
    </xdr:from>
    <xdr:to>
      <xdr:col>2</xdr:col>
      <xdr:colOff>457200</xdr:colOff>
      <xdr:row>184</xdr:row>
      <xdr:rowOff>74821</xdr:rowOff>
    </xdr:to>
    <xdr:sp macro="" textlink="">
      <xdr:nvSpPr>
        <xdr:cNvPr id="21" name="Left Brace 20">
          <a:extLst>
            <a:ext uri="{FF2B5EF4-FFF2-40B4-BE49-F238E27FC236}">
              <a16:creationId xmlns:a16="http://schemas.microsoft.com/office/drawing/2014/main" id="{00000000-0008-0000-0000-000015000000}"/>
            </a:ext>
          </a:extLst>
        </xdr:cNvPr>
        <xdr:cNvSpPr/>
      </xdr:nvSpPr>
      <xdr:spPr>
        <a:xfrm>
          <a:off x="1332672" y="42673361"/>
          <a:ext cx="134178" cy="403661"/>
        </a:xfrm>
        <a:prstGeom prst="leftBrace">
          <a:avLst>
            <a:gd name="adj1" fmla="val 22284"/>
            <a:gd name="adj2" fmla="val 48520"/>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oneCellAnchor>
    <xdr:from>
      <xdr:col>6</xdr:col>
      <xdr:colOff>313804</xdr:colOff>
      <xdr:row>177</xdr:row>
      <xdr:rowOff>109450</xdr:rowOff>
    </xdr:from>
    <xdr:ext cx="232371" cy="270015"/>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3984296" y="28549753"/>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3</a:t>
          </a:r>
        </a:p>
      </xdr:txBody>
    </xdr:sp>
    <xdr:clientData/>
  </xdr:oneCellAnchor>
  <xdr:oneCellAnchor>
    <xdr:from>
      <xdr:col>7</xdr:col>
      <xdr:colOff>171792</xdr:colOff>
      <xdr:row>174</xdr:row>
      <xdr:rowOff>3472</xdr:rowOff>
    </xdr:from>
    <xdr:ext cx="157370" cy="28658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4458042" y="27765480"/>
          <a:ext cx="157370" cy="28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6</xdr:col>
      <xdr:colOff>317232</xdr:colOff>
      <xdr:row>182</xdr:row>
      <xdr:rowOff>102320</xdr:rowOff>
    </xdr:from>
    <xdr:ext cx="157370" cy="28658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987724" y="29321941"/>
          <a:ext cx="157370" cy="28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3</a:t>
          </a:r>
        </a:p>
      </xdr:txBody>
    </xdr:sp>
    <xdr:clientData/>
  </xdr:oneCellAnchor>
  <xdr:twoCellAnchor editAs="oneCell">
    <xdr:from>
      <xdr:col>4</xdr:col>
      <xdr:colOff>474999</xdr:colOff>
      <xdr:row>188</xdr:row>
      <xdr:rowOff>62538</xdr:rowOff>
    </xdr:from>
    <xdr:to>
      <xdr:col>7</xdr:col>
      <xdr:colOff>179542</xdr:colOff>
      <xdr:row>190</xdr:row>
      <xdr:rowOff>142284</xdr:rowOff>
    </xdr:to>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2938029" y="30225038"/>
              <a:ext cx="1527763" cy="3683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𝑠</m:t>
                    </m:r>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700</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𝑒</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𝛽</m:t>
                            </m:r>
                          </m:e>
                          <m:sub>
                            <m:r>
                              <a:rPr lang="en-US" sz="1000" b="0" i="1">
                                <a:latin typeface="Cambria Math" panose="02040503050406030204" pitchFamily="18" charset="0"/>
                              </a:rPr>
                              <m:t>𝑠</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𝑠𝑠</m:t>
                            </m:r>
                          </m:sub>
                        </m:sSub>
                      </m:den>
                    </m:f>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𝑐</m:t>
                        </m:r>
                      </m:sub>
                    </m:sSub>
                  </m:oMath>
                </m:oMathPara>
              </a14:m>
              <a:endParaRPr lang="en-US" sz="1000" b="0"/>
            </a:p>
          </xdr:txBody>
        </xdr:sp>
      </mc:Choice>
      <mc:Fallback xmlns="">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2938029" y="30225038"/>
              <a:ext cx="1527763" cy="3683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𝑠</a:t>
              </a:r>
              <a:r>
                <a:rPr lang="en-US" sz="1000" b="0" i="0">
                  <a:latin typeface="Cambria Math" panose="02040503050406030204" pitchFamily="18" charset="0"/>
                  <a:ea typeface="Cambria Math" panose="02040503050406030204" pitchFamily="18" charset="0"/>
                </a:rPr>
                <a:t>≤</a:t>
              </a:r>
              <a:r>
                <a:rPr lang="en-US" sz="1000" b="0" i="0">
                  <a:latin typeface="Cambria Math" panose="02040503050406030204" pitchFamily="18" charset="0"/>
                </a:rPr>
                <a:t>(700</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𝑒)/(</a:t>
              </a:r>
              <a:r>
                <a:rPr lang="en-US" sz="1000" b="0" i="0">
                  <a:latin typeface="Cambria Math" panose="02040503050406030204" pitchFamily="18" charset="0"/>
                  <a:ea typeface="Cambria Math" panose="02040503050406030204" pitchFamily="18" charset="0"/>
                </a:rPr>
                <a:t>𝛽_</a:t>
              </a:r>
              <a:r>
                <a:rPr lang="en-US" sz="1000" b="0" i="0">
                  <a:latin typeface="Cambria Math" panose="02040503050406030204" pitchFamily="18" charset="0"/>
                </a:rPr>
                <a:t>𝑠 𝑓_𝑠𝑠 )−2𝑑_𝑐</a:t>
              </a:r>
              <a:endParaRPr lang="en-US" sz="1000" b="0"/>
            </a:p>
          </xdr:txBody>
        </xdr:sp>
      </mc:Fallback>
    </mc:AlternateContent>
    <xdr:clientData/>
  </xdr:twoCellAnchor>
  <xdr:twoCellAnchor editAs="oneCell">
    <xdr:from>
      <xdr:col>1</xdr:col>
      <xdr:colOff>9621</xdr:colOff>
      <xdr:row>203</xdr:row>
      <xdr:rowOff>76969</xdr:rowOff>
    </xdr:from>
    <xdr:to>
      <xdr:col>4</xdr:col>
      <xdr:colOff>200121</xdr:colOff>
      <xdr:row>203</xdr:row>
      <xdr:rowOff>457969</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625379" y="32548560"/>
              <a:ext cx="2037772"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i="1">
                            <a:latin typeface="Cambria Math" panose="02040503050406030204" pitchFamily="18" charset="0"/>
                            <a:ea typeface="Cambria Math" panose="02040503050406030204" pitchFamily="18" charset="0"/>
                          </a:rPr>
                          <m:t>𝛽</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rPr>
                      <m:t>=1+</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𝐶</m:t>
                            </m:r>
                          </m:sub>
                        </m:sSub>
                      </m:num>
                      <m:den>
                        <m:r>
                          <a:rPr lang="en-US" sz="1000" b="0" i="1">
                            <a:latin typeface="Cambria Math" panose="02040503050406030204" pitchFamily="18" charset="0"/>
                          </a:rPr>
                          <m:t>0.7(</m:t>
                        </m:r>
                        <m:sSub>
                          <m:sSubPr>
                            <m:ctrlPr>
                              <a:rPr lang="en-US" sz="1000" b="0" i="1">
                                <a:latin typeface="Cambria Math" panose="02040503050406030204" pitchFamily="18" charset="0"/>
                              </a:rPr>
                            </m:ctrlPr>
                          </m:sSubPr>
                          <m:e>
                            <m:r>
                              <a:rPr lang="en-US" sz="1000" b="0" i="1">
                                <a:latin typeface="Cambria Math" panose="02040503050406030204" pitchFamily="18" charset="0"/>
                              </a:rPr>
                              <m:t>𝑡</m:t>
                            </m:r>
                          </m:e>
                          <m:sub>
                            <m:r>
                              <a:rPr lang="en-US" sz="1000" b="0" i="1">
                                <a:latin typeface="Cambria Math" panose="02040503050406030204" pitchFamily="18" charset="0"/>
                              </a:rPr>
                              <m:t>𝐷𝑒𝑐𝑘</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𝐶</m:t>
                            </m:r>
                          </m:sub>
                        </m:sSub>
                        <m:r>
                          <a:rPr lang="en-US" sz="1000" b="0" i="1">
                            <a:latin typeface="Cambria Math" panose="02040503050406030204" pitchFamily="18" charset="0"/>
                          </a:rPr>
                          <m:t>)</m:t>
                        </m:r>
                      </m:den>
                    </m:f>
                    <m:r>
                      <a:rPr lang="en-US" sz="1000" b="0" i="1">
                        <a:latin typeface="Cambria Math" panose="02040503050406030204" pitchFamily="18" charset="0"/>
                      </a:rPr>
                      <m:t>=</m:t>
                    </m:r>
                  </m:oMath>
                </m:oMathPara>
              </a14:m>
              <a:endParaRPr lang="en-US" sz="1000"/>
            </a:p>
          </xdr:txBody>
        </xdr:sp>
      </mc:Choice>
      <mc:Fallback xmlns="">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625379" y="32548560"/>
              <a:ext cx="2037772"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r>
                <a:rPr lang="en-US" sz="1000" i="0">
                  <a:latin typeface="Cambria Math" panose="02040503050406030204" pitchFamily="18" charset="0"/>
                  <a:ea typeface="Cambria Math" panose="02040503050406030204" pitchFamily="18" charset="0"/>
                </a:rPr>
                <a:t>𝛽_</a:t>
              </a:r>
              <a:r>
                <a:rPr lang="en-US" sz="1000" b="0" i="0">
                  <a:latin typeface="Cambria Math" panose="02040503050406030204" pitchFamily="18" charset="0"/>
                  <a:ea typeface="Cambria Math" panose="02040503050406030204" pitchFamily="18" charset="0"/>
                </a:rPr>
                <a:t>𝑆</a:t>
              </a:r>
              <a:r>
                <a:rPr lang="en-US" sz="1000" b="0" i="0">
                  <a:latin typeface="Cambria Math" panose="02040503050406030204" pitchFamily="18" charset="0"/>
                </a:rPr>
                <a:t>=1+𝑑_𝐶/(0.7(𝑡_𝐷𝑒𝑐𝑘−𝑑_𝐶))=</a:t>
              </a:r>
              <a:endParaRPr lang="en-US" sz="1000"/>
            </a:p>
          </xdr:txBody>
        </xdr:sp>
      </mc:Fallback>
    </mc:AlternateContent>
    <xdr:clientData/>
  </xdr:twoCellAnchor>
  <xdr:twoCellAnchor editAs="oneCell">
    <xdr:from>
      <xdr:col>3</xdr:col>
      <xdr:colOff>542925</xdr:colOff>
      <xdr:row>204</xdr:row>
      <xdr:rowOff>6212</xdr:rowOff>
    </xdr:from>
    <xdr:to>
      <xdr:col>4</xdr:col>
      <xdr:colOff>603806</xdr:colOff>
      <xdr:row>204</xdr:row>
      <xdr:rowOff>390525</xdr:rowOff>
    </xdr:to>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2371725" y="37629962"/>
              <a:ext cx="670481" cy="384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r>
                      <a:rPr lang="en-US" sz="1000" i="1">
                        <a:latin typeface="Cambria Math" panose="02040503050406030204" pitchFamily="18" charset="0"/>
                        <a:ea typeface="Cambria Math" panose="02040503050406030204" pitchFamily="18" charset="0"/>
                      </a:rPr>
                      <m:t>𝜌</m:t>
                    </m:r>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num>
                      <m:den>
                        <m:r>
                          <a:rPr lang="en-US" sz="1000" b="0" i="1">
                            <a:latin typeface="Cambria Math" panose="02040503050406030204" pitchFamily="18" charset="0"/>
                            <a:ea typeface="Cambria Math" panose="02040503050406030204" pitchFamily="18" charset="0"/>
                          </a:rPr>
                          <m:t>𝑏</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den>
                    </m:f>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27" name="TextBox 26">
              <a:extLst>
                <a:ext uri="{FF2B5EF4-FFF2-40B4-BE49-F238E27FC236}">
                  <a16:creationId xmlns:a16="http://schemas.microsoft.com/office/drawing/2014/main" id="{00000000-0008-0000-0000-000013000000}"/>
                </a:ext>
              </a:extLst>
            </xdr:cNvPr>
            <xdr:cNvSpPr txBox="1"/>
          </xdr:nvSpPr>
          <xdr:spPr>
            <a:xfrm>
              <a:off x="2371725" y="37629962"/>
              <a:ext cx="670481" cy="384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i="0">
                  <a:latin typeface="Cambria Math" panose="02040503050406030204" pitchFamily="18" charset="0"/>
                  <a:ea typeface="Cambria Math" panose="02040503050406030204" pitchFamily="18" charset="0"/>
                </a:rPr>
                <a:t>𝜌</a:t>
              </a:r>
              <a:r>
                <a:rPr lang="en-US" sz="1000" b="0" i="0">
                  <a:latin typeface="Cambria Math" panose="02040503050406030204" pitchFamily="18" charset="0"/>
                  <a:ea typeface="Cambria Math" panose="02040503050406030204" pitchFamily="18" charset="0"/>
                </a:rPr>
                <a:t>=𝐴_𝑆/(𝑏𝑑_𝑆 )=</a:t>
              </a:r>
              <a:endParaRPr lang="en-US" sz="1000"/>
            </a:p>
          </xdr:txBody>
        </xdr:sp>
      </mc:Fallback>
    </mc:AlternateContent>
    <xdr:clientData/>
  </xdr:twoCellAnchor>
  <xdr:twoCellAnchor editAs="oneCell">
    <xdr:from>
      <xdr:col>0</xdr:col>
      <xdr:colOff>533401</xdr:colOff>
      <xdr:row>206</xdr:row>
      <xdr:rowOff>28589</xdr:rowOff>
    </xdr:from>
    <xdr:to>
      <xdr:col>3</xdr:col>
      <xdr:colOff>369469</xdr:colOff>
      <xdr:row>209</xdr:row>
      <xdr:rowOff>428636</xdr:rowOff>
    </xdr:to>
    <xdr:grpSp>
      <xdr:nvGrpSpPr>
        <xdr:cNvPr id="28" name="Group 27">
          <a:extLst>
            <a:ext uri="{FF2B5EF4-FFF2-40B4-BE49-F238E27FC236}">
              <a16:creationId xmlns:a16="http://schemas.microsoft.com/office/drawing/2014/main" id="{00000000-0008-0000-0000-00001C000000}"/>
            </a:ext>
          </a:extLst>
        </xdr:cNvPr>
        <xdr:cNvGrpSpPr/>
      </xdr:nvGrpSpPr>
      <xdr:grpSpPr>
        <a:xfrm>
          <a:off x="533401" y="35080589"/>
          <a:ext cx="1607718" cy="1400172"/>
          <a:chOff x="428979" y="42109786"/>
          <a:chExt cx="1666178" cy="1439228"/>
        </a:xfrm>
      </xdr:grpSpPr>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514770" y="42109786"/>
                <a:ext cx="1515715" cy="204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𝑘</m:t>
                      </m:r>
                      <m:r>
                        <a:rPr lang="en-US" sz="1000" b="0" i="1">
                          <a:latin typeface="Cambria Math" panose="02040503050406030204" pitchFamily="18" charset="0"/>
                        </a:rPr>
                        <m:t>=</m:t>
                      </m:r>
                      <m:rad>
                        <m:radPr>
                          <m:degHide m:val="on"/>
                          <m:ctrlPr>
                            <a:rPr lang="en-US" sz="1000" b="0" i="1">
                              <a:latin typeface="Cambria Math" panose="02040503050406030204" pitchFamily="18" charset="0"/>
                            </a:rPr>
                          </m:ctrlPr>
                        </m:radPr>
                        <m:deg/>
                        <m:e>
                          <m:r>
                            <a:rPr lang="en-US" sz="1000" b="0" i="1">
                              <a:latin typeface="Cambria Math" panose="02040503050406030204" pitchFamily="18" charset="0"/>
                            </a:rPr>
                            <m:t>2</m:t>
                          </m:r>
                          <m:r>
                            <a:rPr lang="en-US" sz="1000" b="0" i="1">
                              <a:latin typeface="Cambria Math" panose="02040503050406030204" pitchFamily="18" charset="0"/>
                            </a:rPr>
                            <m:t>𝑛</m:t>
                          </m:r>
                          <m:r>
                            <a:rPr lang="en-US" sz="1000" b="0" i="1">
                              <a:latin typeface="Cambria Math" panose="02040503050406030204" pitchFamily="18" charset="0"/>
                              <a:ea typeface="Cambria Math" panose="02040503050406030204" pitchFamily="18" charset="0"/>
                            </a:rPr>
                            <m:t>𝜌</m:t>
                          </m:r>
                          <m:r>
                            <a:rPr lang="en-US" sz="1000" b="0" i="1">
                              <a:latin typeface="Cambria Math" panose="02040503050406030204" pitchFamily="18" charset="0"/>
                              <a:ea typeface="Cambria Math" panose="02040503050406030204" pitchFamily="18" charset="0"/>
                            </a:rPr>
                            <m:t>+</m:t>
                          </m:r>
                          <m:sSup>
                            <m:sSupPr>
                              <m:ctrlPr>
                                <a:rPr lang="en-US" sz="1000" b="0" i="1">
                                  <a:latin typeface="Cambria Math" panose="02040503050406030204" pitchFamily="18" charset="0"/>
                                  <a:ea typeface="Cambria Math" panose="02040503050406030204" pitchFamily="18" charset="0"/>
                                </a:rPr>
                              </m:ctrlPr>
                            </m:sSupPr>
                            <m:e>
                              <m:d>
                                <m:dPr>
                                  <m:ctrlPr>
                                    <a:rPr lang="en-US" sz="1000" b="0" i="1">
                                      <a:latin typeface="Cambria Math" panose="02040503050406030204" pitchFamily="18" charset="0"/>
                                      <a:ea typeface="Cambria Math" panose="02040503050406030204" pitchFamily="18" charset="0"/>
                                    </a:rPr>
                                  </m:ctrlPr>
                                </m:dPr>
                                <m:e>
                                  <m:r>
                                    <a:rPr lang="en-US" sz="1000" b="0" i="1">
                                      <a:latin typeface="Cambria Math" panose="02040503050406030204" pitchFamily="18" charset="0"/>
                                      <a:ea typeface="Cambria Math" panose="02040503050406030204" pitchFamily="18" charset="0"/>
                                    </a:rPr>
                                    <m:t>𝑛</m:t>
                                  </m:r>
                                  <m:r>
                                    <a:rPr lang="en-US" sz="1000" b="0" i="1">
                                      <a:latin typeface="Cambria Math" panose="02040503050406030204" pitchFamily="18" charset="0"/>
                                      <a:ea typeface="Cambria Math" panose="02040503050406030204" pitchFamily="18" charset="0"/>
                                    </a:rPr>
                                    <m:t>𝜌</m:t>
                                  </m:r>
                                </m:e>
                              </m:d>
                            </m:e>
                            <m:sup>
                              <m:r>
                                <a:rPr lang="en-US" sz="1000" b="0" i="1">
                                  <a:latin typeface="Cambria Math" panose="02040503050406030204" pitchFamily="18" charset="0"/>
                                  <a:ea typeface="Cambria Math" panose="02040503050406030204" pitchFamily="18" charset="0"/>
                                </a:rPr>
                                <m:t>2</m:t>
                              </m:r>
                            </m:sup>
                          </m:sSup>
                        </m:e>
                      </m:rad>
                      <m:r>
                        <a:rPr lang="en-US" sz="1000" b="0" i="1">
                          <a:latin typeface="Cambria Math" panose="02040503050406030204" pitchFamily="18" charset="0"/>
                        </a:rPr>
                        <m:t>−</m:t>
                      </m:r>
                      <m:r>
                        <a:rPr lang="en-US" sz="1000" b="0" i="1">
                          <a:latin typeface="Cambria Math" panose="02040503050406030204" pitchFamily="18" charset="0"/>
                        </a:rPr>
                        <m:t>𝑛</m:t>
                      </m:r>
                      <m:r>
                        <a:rPr lang="en-US" sz="1000" b="0" i="1">
                          <a:latin typeface="Cambria Math" panose="02040503050406030204" pitchFamily="18" charset="0"/>
                          <a:ea typeface="Cambria Math" panose="02040503050406030204" pitchFamily="18" charset="0"/>
                        </a:rPr>
                        <m:t>𝜌</m:t>
                      </m:r>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29" name="TextBox 28">
                <a:extLst>
                  <a:ext uri="{FF2B5EF4-FFF2-40B4-BE49-F238E27FC236}">
                    <a16:creationId xmlns:a16="http://schemas.microsoft.com/office/drawing/2014/main" id="{00000000-0008-0000-0000-000014000000}"/>
                  </a:ext>
                </a:extLst>
              </xdr:cNvPr>
              <xdr:cNvSpPr txBox="1"/>
            </xdr:nvSpPr>
            <xdr:spPr>
              <a:xfrm>
                <a:off x="514770" y="42109786"/>
                <a:ext cx="1515715" cy="204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𝑘=√(2𝑛</a:t>
                </a:r>
                <a:r>
                  <a:rPr lang="en-US" sz="1000" b="0" i="0">
                    <a:latin typeface="Cambria Math" panose="02040503050406030204" pitchFamily="18" charset="0"/>
                    <a:ea typeface="Cambria Math" panose="02040503050406030204" pitchFamily="18" charset="0"/>
                  </a:rPr>
                  <a:t>𝜌+(𝑛𝜌)^2 )</a:t>
                </a:r>
                <a:r>
                  <a:rPr lang="en-US" sz="1000" b="0" i="0">
                    <a:latin typeface="Cambria Math" panose="02040503050406030204" pitchFamily="18" charset="0"/>
                  </a:rPr>
                  <a:t>−𝑛</a:t>
                </a:r>
                <a:r>
                  <a:rPr lang="en-US" sz="1000" b="0" i="0">
                    <a:latin typeface="Cambria Math" panose="02040503050406030204" pitchFamily="18" charset="0"/>
                    <a:ea typeface="Cambria Math" panose="02040503050406030204" pitchFamily="18" charset="0"/>
                  </a:rPr>
                  <a:t>𝜌=</a:t>
                </a:r>
                <a:endParaRPr lang="en-US" sz="1000"/>
              </a:p>
            </xdr:txBody>
          </xdr:sp>
        </mc:Fallback>
      </mc:AlternateContent>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514772" y="42383027"/>
                <a:ext cx="1515718" cy="204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𝑗</m:t>
                      </m:r>
                      <m:r>
                        <a:rPr lang="en-US" sz="1000" b="0" i="1">
                          <a:latin typeface="Cambria Math" panose="02040503050406030204" pitchFamily="18" charset="0"/>
                        </a:rPr>
                        <m:t>=1−</m:t>
                      </m:r>
                      <m:r>
                        <a:rPr lang="en-US" sz="1000" b="0" i="1">
                          <a:latin typeface="Cambria Math" panose="02040503050406030204" pitchFamily="18" charset="0"/>
                        </a:rPr>
                        <m:t>𝑘</m:t>
                      </m:r>
                      <m:r>
                        <a:rPr lang="en-US" sz="1000" b="0" i="1">
                          <a:latin typeface="Cambria Math" panose="02040503050406030204" pitchFamily="18" charset="0"/>
                        </a:rPr>
                        <m:t>/3=</m:t>
                      </m:r>
                    </m:oMath>
                  </m:oMathPara>
                </a14:m>
                <a:endParaRPr lang="en-US" sz="1000"/>
              </a:p>
            </xdr:txBody>
          </xdr:sp>
        </mc:Choice>
        <mc:Fallback xmlns="">
          <xdr:sp macro="" textlink="">
            <xdr:nvSpPr>
              <xdr:cNvPr id="30" name="TextBox 29">
                <a:extLst>
                  <a:ext uri="{FF2B5EF4-FFF2-40B4-BE49-F238E27FC236}">
                    <a16:creationId xmlns:a16="http://schemas.microsoft.com/office/drawing/2014/main" id="{00000000-0008-0000-0000-000015000000}"/>
                  </a:ext>
                </a:extLst>
              </xdr:cNvPr>
              <xdr:cNvSpPr txBox="1"/>
            </xdr:nvSpPr>
            <xdr:spPr>
              <a:xfrm>
                <a:off x="514772" y="42383027"/>
                <a:ext cx="1515718" cy="204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𝑗=1−𝑘/3=</a:t>
                </a:r>
                <a:endParaRPr lang="en-US" sz="1000"/>
              </a:p>
            </xdr:txBody>
          </xdr:sp>
        </mc:Fallback>
      </mc:AlternateContent>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514770" y="42695550"/>
                <a:ext cx="1580387" cy="392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𝑠𝑠</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𝑢</m:t>
                              </m:r>
                              <m:r>
                                <a:rPr lang="en-US" sz="1000" b="0" i="1">
                                  <a:latin typeface="Cambria Math" panose="02040503050406030204" pitchFamily="18" charset="0"/>
                                </a:rPr>
                                <m:t>_</m:t>
                              </m:r>
                              <m:r>
                                <a:rPr lang="en-US" sz="1000" b="0" i="1">
                                  <a:latin typeface="Cambria Math" panose="02040503050406030204" pitchFamily="18" charset="0"/>
                                </a:rPr>
                                <m:t>𝑠𝑒𝑟𝑣𝑖𝑐𝑒</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r>
                            <a:rPr lang="en-US" sz="1000" b="0" i="1">
                              <a:latin typeface="Cambria Math" panose="02040503050406030204" pitchFamily="18" charset="0"/>
                            </a:rPr>
                            <m:t>𝑗</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𝑆</m:t>
                              </m:r>
                            </m:sub>
                          </m:sSub>
                        </m:den>
                      </m:f>
                      <m:r>
                        <a:rPr lang="en-US" sz="1000" b="0" i="1">
                          <a:latin typeface="Cambria Math" panose="02040503050406030204" pitchFamily="18" charset="0"/>
                        </a:rPr>
                        <m:t>=</m:t>
                      </m:r>
                    </m:oMath>
                  </m:oMathPara>
                </a14:m>
                <a:endParaRPr lang="en-US" sz="1000"/>
              </a:p>
            </xdr:txBody>
          </xdr:sp>
        </mc:Choice>
        <mc:Fallback xmlns="">
          <xdr:sp macro="" textlink="">
            <xdr:nvSpPr>
              <xdr:cNvPr id="31" name="TextBox 30">
                <a:extLst>
                  <a:ext uri="{FF2B5EF4-FFF2-40B4-BE49-F238E27FC236}">
                    <a16:creationId xmlns:a16="http://schemas.microsoft.com/office/drawing/2014/main" id="{00000000-0008-0000-0000-000016000000}"/>
                  </a:ext>
                </a:extLst>
              </xdr:cNvPr>
              <xdr:cNvSpPr txBox="1"/>
            </xdr:nvSpPr>
            <xdr:spPr>
              <a:xfrm>
                <a:off x="514770" y="42695550"/>
                <a:ext cx="1580387" cy="392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𝑓_𝑠𝑠=(+𝑀_(𝑢_𝑠𝑒𝑟𝑣𝑖𝑐𝑒))/(𝐴_𝑆 𝑗𝑑_𝑆 )=</a:t>
                </a:r>
                <a:endParaRPr lang="en-US" sz="1000"/>
              </a:p>
            </xdr:txBody>
          </xdr:sp>
        </mc:Fallback>
      </mc:AlternateContent>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428979" y="43156550"/>
                <a:ext cx="1515716" cy="392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𝑠</m:t>
                          </m:r>
                        </m:e>
                        <m:sub>
                          <m:r>
                            <a:rPr lang="en-US" sz="1000" b="0" i="1">
                              <a:latin typeface="Cambria Math" panose="02040503050406030204" pitchFamily="18" charset="0"/>
                            </a:rPr>
                            <m:t>𝑚𝑎𝑥</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700</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𝑒</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𝛽</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𝑆𝑆</m:t>
                              </m:r>
                            </m:sub>
                          </m:sSub>
                        </m:den>
                      </m:f>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𝐶</m:t>
                          </m:r>
                        </m:sub>
                      </m:sSub>
                      <m:r>
                        <a:rPr lang="en-US" sz="1000" b="0" i="1">
                          <a:latin typeface="Cambria Math" panose="02040503050406030204" pitchFamily="18" charset="0"/>
                        </a:rPr>
                        <m:t>=</m:t>
                      </m:r>
                    </m:oMath>
                  </m:oMathPara>
                </a14:m>
                <a:endParaRPr lang="en-US" sz="1000" b="0"/>
              </a:p>
            </xdr:txBody>
          </xdr:sp>
        </mc:Choice>
        <mc:Fallback xmlns="">
          <xdr:sp macro="" textlink="">
            <xdr:nvSpPr>
              <xdr:cNvPr id="32" name="TextBox 31">
                <a:extLst>
                  <a:ext uri="{FF2B5EF4-FFF2-40B4-BE49-F238E27FC236}">
                    <a16:creationId xmlns:a16="http://schemas.microsoft.com/office/drawing/2014/main" id="{00000000-0008-0000-0000-000017000000}"/>
                  </a:ext>
                </a:extLst>
              </xdr:cNvPr>
              <xdr:cNvSpPr txBox="1"/>
            </xdr:nvSpPr>
            <xdr:spPr>
              <a:xfrm>
                <a:off x="428979" y="43156550"/>
                <a:ext cx="1515716" cy="392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𝑠_𝑚𝑎𝑥=(700</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𝑒)/(</a:t>
                </a:r>
                <a:r>
                  <a:rPr lang="en-US" sz="1000" b="0" i="0">
                    <a:latin typeface="Cambria Math" panose="02040503050406030204" pitchFamily="18" charset="0"/>
                    <a:ea typeface="Cambria Math" panose="02040503050406030204" pitchFamily="18" charset="0"/>
                  </a:rPr>
                  <a:t>𝛽_𝑆 </a:t>
                </a:r>
                <a:r>
                  <a:rPr lang="en-US" sz="1000" b="0" i="0">
                    <a:latin typeface="Cambria Math" panose="02040503050406030204" pitchFamily="18" charset="0"/>
                  </a:rPr>
                  <a:t>𝑓_𝑆𝑆 )−2𝑑_𝐶=</a:t>
                </a:r>
                <a:endParaRPr lang="en-US" sz="1000" b="0"/>
              </a:p>
            </xdr:txBody>
          </xdr:sp>
        </mc:Fallback>
      </mc:AlternateContent>
    </xdr:grpSp>
    <xdr:clientData/>
  </xdr:twoCellAnchor>
  <xdr:twoCellAnchor editAs="oneCell">
    <xdr:from>
      <xdr:col>1</xdr:col>
      <xdr:colOff>142874</xdr:colOff>
      <xdr:row>211</xdr:row>
      <xdr:rowOff>9525</xdr:rowOff>
    </xdr:from>
    <xdr:to>
      <xdr:col>3</xdr:col>
      <xdr:colOff>569842</xdr:colOff>
      <xdr:row>211</xdr:row>
      <xdr:rowOff>174488</xdr:rowOff>
    </xdr:to>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752474" y="39881175"/>
              <a:ext cx="1646168"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r>
                      <a:rPr lang="en-US" sz="1000" b="0" i="1">
                        <a:latin typeface="Cambria Math" panose="02040503050406030204" pitchFamily="18" charset="0"/>
                      </a:rPr>
                      <m:t>𝑠𝑝𝑎𝑐𝑖𝑛𝑔</m:t>
                    </m:r>
                    <m:r>
                      <a:rPr lang="en-US" sz="1000" b="0" i="1">
                        <a:latin typeface="Cambria Math" panose="02040503050406030204" pitchFamily="18" charset="0"/>
                      </a:rPr>
                      <m:t> </m:t>
                    </m:r>
                    <m:r>
                      <a:rPr lang="en-US" sz="1000" b="0" i="1">
                        <a:latin typeface="Cambria Math" panose="02040503050406030204" pitchFamily="18" charset="0"/>
                      </a:rPr>
                      <m:t>𝑢𝑠𝑒𝑑</m:t>
                    </m:r>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𝑠</m:t>
                        </m:r>
                      </m:e>
                      <m:sub>
                        <m:r>
                          <a:rPr lang="en-US" sz="1000" b="0" i="1">
                            <a:latin typeface="Cambria Math" panose="02040503050406030204" pitchFamily="18" charset="0"/>
                            <a:ea typeface="Cambria Math" panose="02040503050406030204" pitchFamily="18" charset="0"/>
                          </a:rPr>
                          <m:t>𝑚𝑎𝑥</m:t>
                        </m:r>
                      </m:sub>
                    </m:sSub>
                    <m:r>
                      <a:rPr lang="en-US" sz="1000" b="0" i="1">
                        <a:latin typeface="Cambria Math" panose="02040503050406030204" pitchFamily="18" charset="0"/>
                        <a:ea typeface="Cambria Math" panose="02040503050406030204" pitchFamily="18" charset="0"/>
                      </a:rPr>
                      <m:t>:</m:t>
                    </m:r>
                  </m:oMath>
                </m:oMathPara>
              </a14:m>
              <a:endParaRPr lang="en-US" sz="1000">
                <a:latin typeface="Arial" panose="020B0604020202020204" pitchFamily="34" charset="0"/>
                <a:cs typeface="Arial" panose="020B0604020202020204" pitchFamily="34" charset="0"/>
              </a:endParaRPr>
            </a:p>
          </xdr:txBody>
        </xdr:sp>
      </mc:Choice>
      <mc:Fallback xmlns="">
        <xdr:sp macro="" textlink="">
          <xdr:nvSpPr>
            <xdr:cNvPr id="33" name="TextBox 32">
              <a:extLst>
                <a:ext uri="{FF2B5EF4-FFF2-40B4-BE49-F238E27FC236}">
                  <a16:creationId xmlns:a16="http://schemas.microsoft.com/office/drawing/2014/main" id="{00000000-0008-0000-0000-000018000000}"/>
                </a:ext>
              </a:extLst>
            </xdr:cNvPr>
            <xdr:cNvSpPr txBox="1"/>
          </xdr:nvSpPr>
          <xdr:spPr>
            <a:xfrm>
              <a:off x="752474" y="39881175"/>
              <a:ext cx="1646168"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𝐶ℎ𝑒𝑐𝑘 𝑠𝑝𝑎𝑐𝑖𝑛𝑔 𝑢𝑠𝑒𝑑</a:t>
              </a:r>
              <a:r>
                <a:rPr lang="en-US" sz="1000" b="0" i="0">
                  <a:latin typeface="Cambria Math" panose="02040503050406030204" pitchFamily="18" charset="0"/>
                  <a:ea typeface="Cambria Math" panose="02040503050406030204" pitchFamily="18" charset="0"/>
                </a:rPr>
                <a:t>≤𝑠_𝑚𝑎𝑥:</a:t>
              </a:r>
              <a:endParaRPr lang="en-US" sz="1000">
                <a:latin typeface="Arial" panose="020B0604020202020204" pitchFamily="34" charset="0"/>
                <a:cs typeface="Arial" panose="020B0604020202020204" pitchFamily="34" charset="0"/>
              </a:endParaRPr>
            </a:p>
          </xdr:txBody>
        </xdr:sp>
      </mc:Fallback>
    </mc:AlternateContent>
    <xdr:clientData/>
  </xdr:twoCellAnchor>
  <xdr:twoCellAnchor editAs="oneCell">
    <xdr:from>
      <xdr:col>4</xdr:col>
      <xdr:colOff>48036</xdr:colOff>
      <xdr:row>215</xdr:row>
      <xdr:rowOff>28575</xdr:rowOff>
    </xdr:from>
    <xdr:to>
      <xdr:col>5</xdr:col>
      <xdr:colOff>80342</xdr:colOff>
      <xdr:row>216</xdr:row>
      <xdr:rowOff>43622</xdr:rowOff>
    </xdr:to>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2486436" y="41167050"/>
              <a:ext cx="670481"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i="1">
                        <a:latin typeface="Cambria Math" panose="02040503050406030204" pitchFamily="18" charset="0"/>
                        <a:ea typeface="Cambria Math" panose="02040503050406030204" pitchFamily="18" charset="0"/>
                      </a:rPr>
                      <m:t>𝜌</m:t>
                    </m:r>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num>
                      <m:den>
                        <m:r>
                          <a:rPr lang="en-US" sz="1000" b="0" i="1">
                            <a:latin typeface="Cambria Math" panose="02040503050406030204" pitchFamily="18" charset="0"/>
                            <a:ea typeface="Cambria Math" panose="02040503050406030204" pitchFamily="18" charset="0"/>
                          </a:rPr>
                          <m:t>𝑏</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den>
                    </m:f>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34" name="TextBox 33">
              <a:extLst>
                <a:ext uri="{FF2B5EF4-FFF2-40B4-BE49-F238E27FC236}">
                  <a16:creationId xmlns:a16="http://schemas.microsoft.com/office/drawing/2014/main" id="{00000000-0008-0000-0000-00001A000000}"/>
                </a:ext>
              </a:extLst>
            </xdr:cNvPr>
            <xdr:cNvSpPr txBox="1"/>
          </xdr:nvSpPr>
          <xdr:spPr>
            <a:xfrm>
              <a:off x="2486436" y="41167050"/>
              <a:ext cx="670481"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i="0">
                  <a:latin typeface="Cambria Math" panose="02040503050406030204" pitchFamily="18" charset="0"/>
                  <a:ea typeface="Cambria Math" panose="02040503050406030204" pitchFamily="18" charset="0"/>
                </a:rPr>
                <a:t>𝜌</a:t>
              </a:r>
              <a:r>
                <a:rPr lang="en-US" sz="1000" b="0" i="0">
                  <a:latin typeface="Cambria Math" panose="02040503050406030204" pitchFamily="18" charset="0"/>
                  <a:ea typeface="Cambria Math" panose="02040503050406030204" pitchFamily="18" charset="0"/>
                </a:rPr>
                <a:t>=𝐴_𝑆/(𝑏𝑑_𝑆 )=</a:t>
              </a:r>
              <a:endParaRPr lang="en-US" sz="1000"/>
            </a:p>
          </xdr:txBody>
        </xdr:sp>
      </mc:Fallback>
    </mc:AlternateContent>
    <xdr:clientData/>
  </xdr:twoCellAnchor>
  <xdr:twoCellAnchor editAs="oneCell">
    <xdr:from>
      <xdr:col>1</xdr:col>
      <xdr:colOff>0</xdr:colOff>
      <xdr:row>214</xdr:row>
      <xdr:rowOff>0</xdr:rowOff>
    </xdr:from>
    <xdr:to>
      <xdr:col>4</xdr:col>
      <xdr:colOff>190500</xdr:colOff>
      <xdr:row>214</xdr:row>
      <xdr:rowOff>381000</xdr:rowOff>
    </xdr:to>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504825" y="49996725"/>
              <a:ext cx="2019300"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i="1">
                            <a:latin typeface="Cambria Math" panose="02040503050406030204" pitchFamily="18" charset="0"/>
                            <a:ea typeface="Cambria Math" panose="02040503050406030204" pitchFamily="18" charset="0"/>
                          </a:rPr>
                          <m:t>𝛽</m:t>
                        </m:r>
                      </m:e>
                      <m:sub>
                        <m:r>
                          <a:rPr lang="en-US" sz="1000" b="0" i="1">
                            <a:latin typeface="Cambria Math" panose="02040503050406030204" pitchFamily="18" charset="0"/>
                          </a:rPr>
                          <m:t>𝑠</m:t>
                        </m:r>
                      </m:sub>
                    </m:sSub>
                    <m:r>
                      <a:rPr lang="en-US" sz="1000" b="0" i="1">
                        <a:latin typeface="Cambria Math" panose="02040503050406030204" pitchFamily="18" charset="0"/>
                      </a:rPr>
                      <m:t>=1+</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𝐶</m:t>
                            </m:r>
                          </m:sub>
                        </m:sSub>
                      </m:num>
                      <m:den>
                        <m:r>
                          <a:rPr lang="en-US" sz="1000" b="0" i="1">
                            <a:latin typeface="Cambria Math" panose="02040503050406030204" pitchFamily="18" charset="0"/>
                          </a:rPr>
                          <m:t>0.7(</m:t>
                        </m:r>
                        <m:sSub>
                          <m:sSubPr>
                            <m:ctrlPr>
                              <a:rPr lang="en-US" sz="1000" b="0" i="1">
                                <a:latin typeface="Cambria Math" panose="02040503050406030204" pitchFamily="18" charset="0"/>
                              </a:rPr>
                            </m:ctrlPr>
                          </m:sSubPr>
                          <m:e>
                            <m:r>
                              <a:rPr lang="en-US" sz="1000" b="0" i="1">
                                <a:latin typeface="Cambria Math" panose="02040503050406030204" pitchFamily="18" charset="0"/>
                              </a:rPr>
                              <m:t>𝑡</m:t>
                            </m:r>
                          </m:e>
                          <m:sub>
                            <m:r>
                              <a:rPr lang="en-US" sz="1000" b="0" i="1">
                                <a:latin typeface="Cambria Math" panose="02040503050406030204" pitchFamily="18" charset="0"/>
                              </a:rPr>
                              <m:t>𝐷𝑒𝑐𝑘</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𝐶</m:t>
                            </m:r>
                          </m:sub>
                        </m:sSub>
                        <m:r>
                          <a:rPr lang="en-US" sz="1000" b="0" i="1">
                            <a:latin typeface="Cambria Math" panose="02040503050406030204" pitchFamily="18" charset="0"/>
                          </a:rPr>
                          <m:t>)</m:t>
                        </m:r>
                      </m:den>
                    </m:f>
                    <m:r>
                      <a:rPr lang="en-US" sz="1000" b="0" i="1">
                        <a:latin typeface="Cambria Math" panose="02040503050406030204" pitchFamily="18" charset="0"/>
                      </a:rPr>
                      <m:t>=</m:t>
                    </m:r>
                  </m:oMath>
                </m:oMathPara>
              </a14:m>
              <a:endParaRPr lang="en-US" sz="1000"/>
            </a:p>
          </xdr:txBody>
        </xdr:sp>
      </mc:Choice>
      <mc:Fallback xmlns="">
        <xdr:sp macro="" textlink="">
          <xdr:nvSpPr>
            <xdr:cNvPr id="35" name="TextBox 34">
              <a:extLst>
                <a:ext uri="{FF2B5EF4-FFF2-40B4-BE49-F238E27FC236}">
                  <a16:creationId xmlns:a16="http://schemas.microsoft.com/office/drawing/2014/main" id="{00000000-0008-0000-0000-000019000000}"/>
                </a:ext>
              </a:extLst>
            </xdr:cNvPr>
            <xdr:cNvSpPr txBox="1"/>
          </xdr:nvSpPr>
          <xdr:spPr>
            <a:xfrm>
              <a:off x="504825" y="49996725"/>
              <a:ext cx="2019300"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r>
                <a:rPr lang="en-US" sz="1000" i="0">
                  <a:latin typeface="Cambria Math" panose="02040503050406030204" pitchFamily="18" charset="0"/>
                  <a:ea typeface="Cambria Math" panose="02040503050406030204" pitchFamily="18" charset="0"/>
                </a:rPr>
                <a:t>𝛽_</a:t>
              </a:r>
              <a:r>
                <a:rPr lang="en-US" sz="1000" b="0" i="0">
                  <a:latin typeface="Cambria Math" panose="02040503050406030204" pitchFamily="18" charset="0"/>
                </a:rPr>
                <a:t>𝑠=1+𝑑_𝐶/(0.7(𝑡_𝐷𝑒𝑐𝑘−𝑑_𝐶))=</a:t>
              </a:r>
              <a:endParaRPr lang="en-US" sz="1000"/>
            </a:p>
          </xdr:txBody>
        </xdr:sp>
      </mc:Fallback>
    </mc:AlternateContent>
    <xdr:clientData/>
  </xdr:twoCellAnchor>
  <xdr:twoCellAnchor editAs="oneCell">
    <xdr:from>
      <xdr:col>0</xdr:col>
      <xdr:colOff>514736</xdr:colOff>
      <xdr:row>218</xdr:row>
      <xdr:rowOff>511</xdr:rowOff>
    </xdr:from>
    <xdr:to>
      <xdr:col>3</xdr:col>
      <xdr:colOff>369820</xdr:colOff>
      <xdr:row>221</xdr:row>
      <xdr:rowOff>437451</xdr:rowOff>
    </xdr:to>
    <xdr:grpSp>
      <xdr:nvGrpSpPr>
        <xdr:cNvPr id="36" name="Group 35">
          <a:extLst>
            <a:ext uri="{FF2B5EF4-FFF2-40B4-BE49-F238E27FC236}">
              <a16:creationId xmlns:a16="http://schemas.microsoft.com/office/drawing/2014/main" id="{00000000-0008-0000-0000-000024000000}"/>
            </a:ext>
          </a:extLst>
        </xdr:cNvPr>
        <xdr:cNvGrpSpPr/>
      </xdr:nvGrpSpPr>
      <xdr:grpSpPr>
        <a:xfrm>
          <a:off x="514736" y="38291011"/>
          <a:ext cx="1626734" cy="1275140"/>
          <a:chOff x="476590" y="44994173"/>
          <a:chExt cx="1690581" cy="1322243"/>
        </a:xfrm>
      </xdr:grpSpPr>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651456" y="44994173"/>
                <a:ext cx="1515715" cy="2430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𝑘</m:t>
                      </m:r>
                      <m:r>
                        <a:rPr lang="en-US" sz="1000" b="0" i="1">
                          <a:latin typeface="Cambria Math" panose="02040503050406030204" pitchFamily="18" charset="0"/>
                        </a:rPr>
                        <m:t>=</m:t>
                      </m:r>
                      <m:rad>
                        <m:radPr>
                          <m:degHide m:val="on"/>
                          <m:ctrlPr>
                            <a:rPr lang="en-US" sz="1000" b="0" i="1">
                              <a:latin typeface="Cambria Math" panose="02040503050406030204" pitchFamily="18" charset="0"/>
                            </a:rPr>
                          </m:ctrlPr>
                        </m:radPr>
                        <m:deg/>
                        <m:e>
                          <m:r>
                            <a:rPr lang="en-US" sz="1000" b="0" i="1">
                              <a:latin typeface="Cambria Math" panose="02040503050406030204" pitchFamily="18" charset="0"/>
                            </a:rPr>
                            <m:t>2</m:t>
                          </m:r>
                          <m:r>
                            <a:rPr lang="en-US" sz="1000" b="0" i="1">
                              <a:latin typeface="Cambria Math" panose="02040503050406030204" pitchFamily="18" charset="0"/>
                            </a:rPr>
                            <m:t>𝑛</m:t>
                          </m:r>
                          <m:r>
                            <a:rPr lang="en-US" sz="1000" b="0" i="1">
                              <a:latin typeface="Cambria Math" panose="02040503050406030204" pitchFamily="18" charset="0"/>
                              <a:ea typeface="Cambria Math" panose="02040503050406030204" pitchFamily="18" charset="0"/>
                            </a:rPr>
                            <m:t>𝜌</m:t>
                          </m:r>
                          <m:r>
                            <a:rPr lang="en-US" sz="1000" b="0" i="1">
                              <a:latin typeface="Cambria Math" panose="02040503050406030204" pitchFamily="18" charset="0"/>
                              <a:ea typeface="Cambria Math" panose="02040503050406030204" pitchFamily="18" charset="0"/>
                            </a:rPr>
                            <m:t>+</m:t>
                          </m:r>
                          <m:sSup>
                            <m:sSupPr>
                              <m:ctrlPr>
                                <a:rPr lang="en-US" sz="1000" b="0" i="1">
                                  <a:latin typeface="Cambria Math" panose="02040503050406030204" pitchFamily="18" charset="0"/>
                                  <a:ea typeface="Cambria Math" panose="02040503050406030204" pitchFamily="18" charset="0"/>
                                </a:rPr>
                              </m:ctrlPr>
                            </m:sSupPr>
                            <m:e>
                              <m:d>
                                <m:dPr>
                                  <m:ctrlPr>
                                    <a:rPr lang="en-US" sz="1000" b="0" i="1">
                                      <a:latin typeface="Cambria Math" panose="02040503050406030204" pitchFamily="18" charset="0"/>
                                      <a:ea typeface="Cambria Math" panose="02040503050406030204" pitchFamily="18" charset="0"/>
                                    </a:rPr>
                                  </m:ctrlPr>
                                </m:dPr>
                                <m:e>
                                  <m:r>
                                    <a:rPr lang="en-US" sz="1000" b="0" i="1">
                                      <a:latin typeface="Cambria Math" panose="02040503050406030204" pitchFamily="18" charset="0"/>
                                      <a:ea typeface="Cambria Math" panose="02040503050406030204" pitchFamily="18" charset="0"/>
                                    </a:rPr>
                                    <m:t>𝑛</m:t>
                                  </m:r>
                                  <m:r>
                                    <a:rPr lang="en-US" sz="1000" b="0" i="1">
                                      <a:latin typeface="Cambria Math" panose="02040503050406030204" pitchFamily="18" charset="0"/>
                                      <a:ea typeface="Cambria Math" panose="02040503050406030204" pitchFamily="18" charset="0"/>
                                    </a:rPr>
                                    <m:t>𝜌</m:t>
                                  </m:r>
                                </m:e>
                              </m:d>
                            </m:e>
                            <m:sup>
                              <m:r>
                                <a:rPr lang="en-US" sz="1000" b="0" i="1">
                                  <a:latin typeface="Cambria Math" panose="02040503050406030204" pitchFamily="18" charset="0"/>
                                  <a:ea typeface="Cambria Math" panose="02040503050406030204" pitchFamily="18" charset="0"/>
                                </a:rPr>
                                <m:t>2</m:t>
                              </m:r>
                            </m:sup>
                          </m:sSup>
                        </m:e>
                      </m:rad>
                      <m:r>
                        <a:rPr lang="en-US" sz="1000" b="0" i="1">
                          <a:latin typeface="Cambria Math" panose="02040503050406030204" pitchFamily="18" charset="0"/>
                        </a:rPr>
                        <m:t>−</m:t>
                      </m:r>
                      <m:r>
                        <a:rPr lang="en-US" sz="1000" b="0" i="1">
                          <a:latin typeface="Cambria Math" panose="02040503050406030204" pitchFamily="18" charset="0"/>
                        </a:rPr>
                        <m:t>𝑛</m:t>
                      </m:r>
                      <m:r>
                        <a:rPr lang="en-US" sz="1000" b="0" i="1">
                          <a:latin typeface="Cambria Math" panose="02040503050406030204" pitchFamily="18" charset="0"/>
                          <a:ea typeface="Cambria Math" panose="02040503050406030204" pitchFamily="18" charset="0"/>
                        </a:rPr>
                        <m:t>𝜌</m:t>
                      </m:r>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37" name="TextBox 36">
                <a:extLst>
                  <a:ext uri="{FF2B5EF4-FFF2-40B4-BE49-F238E27FC236}">
                    <a16:creationId xmlns:a16="http://schemas.microsoft.com/office/drawing/2014/main" id="{00000000-0008-0000-0000-00001B000000}"/>
                  </a:ext>
                </a:extLst>
              </xdr:cNvPr>
              <xdr:cNvSpPr txBox="1"/>
            </xdr:nvSpPr>
            <xdr:spPr>
              <a:xfrm>
                <a:off x="651456" y="44994173"/>
                <a:ext cx="1515715" cy="2430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𝑘=√(2𝑛</a:t>
                </a:r>
                <a:r>
                  <a:rPr lang="en-US" sz="1000" b="0" i="0">
                    <a:latin typeface="Cambria Math" panose="02040503050406030204" pitchFamily="18" charset="0"/>
                    <a:ea typeface="Cambria Math" panose="02040503050406030204" pitchFamily="18" charset="0"/>
                  </a:rPr>
                  <a:t>𝜌+(𝑛𝜌)^2 )</a:t>
                </a:r>
                <a:r>
                  <a:rPr lang="en-US" sz="1000" b="0" i="0">
                    <a:latin typeface="Cambria Math" panose="02040503050406030204" pitchFamily="18" charset="0"/>
                  </a:rPr>
                  <a:t>−𝑛</a:t>
                </a:r>
                <a:r>
                  <a:rPr lang="en-US" sz="1000" b="0" i="0">
                    <a:latin typeface="Cambria Math" panose="02040503050406030204" pitchFamily="18" charset="0"/>
                    <a:ea typeface="Cambria Math" panose="02040503050406030204" pitchFamily="18" charset="0"/>
                  </a:rPr>
                  <a:t>𝜌=</a:t>
                </a:r>
                <a:endParaRPr lang="en-US" sz="1000"/>
              </a:p>
            </xdr:txBody>
          </xdr:sp>
        </mc:Fallback>
      </mc:AlternateContent>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651451" y="45220224"/>
                <a:ext cx="1515718" cy="240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𝑗</m:t>
                      </m:r>
                      <m:r>
                        <a:rPr lang="en-US" sz="1000" b="0" i="1">
                          <a:latin typeface="Cambria Math" panose="02040503050406030204" pitchFamily="18" charset="0"/>
                        </a:rPr>
                        <m:t>=1−</m:t>
                      </m:r>
                      <m:r>
                        <a:rPr lang="en-US" sz="1000" b="0" i="1">
                          <a:latin typeface="Cambria Math" panose="02040503050406030204" pitchFamily="18" charset="0"/>
                        </a:rPr>
                        <m:t>𝑘</m:t>
                      </m:r>
                      <m:r>
                        <a:rPr lang="en-US" sz="1000" b="0" i="1">
                          <a:latin typeface="Cambria Math" panose="02040503050406030204" pitchFamily="18" charset="0"/>
                        </a:rPr>
                        <m:t>/3=</m:t>
                      </m:r>
                    </m:oMath>
                  </m:oMathPara>
                </a14:m>
                <a:endParaRPr lang="en-US" sz="1000"/>
              </a:p>
            </xdr:txBody>
          </xdr:sp>
        </mc:Choice>
        <mc:Fallback xmlns="">
          <xdr:sp macro="" textlink="">
            <xdr:nvSpPr>
              <xdr:cNvPr id="38" name="TextBox 37">
                <a:extLst>
                  <a:ext uri="{FF2B5EF4-FFF2-40B4-BE49-F238E27FC236}">
                    <a16:creationId xmlns:a16="http://schemas.microsoft.com/office/drawing/2014/main" id="{00000000-0008-0000-0000-00001C000000}"/>
                  </a:ext>
                </a:extLst>
              </xdr:cNvPr>
              <xdr:cNvSpPr txBox="1"/>
            </xdr:nvSpPr>
            <xdr:spPr>
              <a:xfrm>
                <a:off x="651451" y="45220224"/>
                <a:ext cx="1515718" cy="240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𝑗=1−𝑘/3=</a:t>
                </a:r>
                <a:endParaRPr lang="en-US" sz="1000"/>
              </a:p>
            </xdr:txBody>
          </xdr:sp>
        </mc:Fallback>
      </mc:AlternateContent>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605417" y="45466345"/>
                <a:ext cx="1430015" cy="39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𝑠𝑠</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𝑢</m:t>
                              </m:r>
                              <m:r>
                                <a:rPr lang="en-US" sz="1000" b="0" i="1">
                                  <a:latin typeface="Cambria Math" panose="02040503050406030204" pitchFamily="18" charset="0"/>
                                </a:rPr>
                                <m:t>_</m:t>
                              </m:r>
                              <m:r>
                                <a:rPr lang="en-US" sz="1000" b="0" i="1">
                                  <a:latin typeface="Cambria Math" panose="02040503050406030204" pitchFamily="18" charset="0"/>
                                </a:rPr>
                                <m:t>𝑠𝑒𝑟𝑣𝑖𝑐𝑒</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r>
                            <a:rPr lang="en-US" sz="1000" b="0" i="1">
                              <a:latin typeface="Cambria Math" panose="02040503050406030204" pitchFamily="18" charset="0"/>
                            </a:rPr>
                            <m:t>𝑗</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𝑆</m:t>
                              </m:r>
                            </m:sub>
                          </m:sSub>
                        </m:den>
                      </m:f>
                      <m:r>
                        <a:rPr lang="en-US" sz="1000" b="0" i="1">
                          <a:latin typeface="Cambria Math" panose="02040503050406030204" pitchFamily="18" charset="0"/>
                        </a:rPr>
                        <m:t>=</m:t>
                      </m:r>
                    </m:oMath>
                  </m:oMathPara>
                </a14:m>
                <a:endParaRPr lang="en-US" sz="1000"/>
              </a:p>
            </xdr:txBody>
          </xdr:sp>
        </mc:Choice>
        <mc:Fallback xmlns="">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605417" y="45466345"/>
                <a:ext cx="1430015" cy="39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𝑓_𝑠𝑠=(−𝑀_(𝑢_𝑠𝑒𝑟𝑣𝑖𝑐𝑒))/(𝐴_𝑆 𝑗𝑑_𝑆 )=</a:t>
                </a:r>
                <a:endParaRPr lang="en-US" sz="1000"/>
              </a:p>
            </xdr:txBody>
          </xdr:sp>
        </mc:Fallback>
      </mc:AlternateContent>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476590" y="45907589"/>
                <a:ext cx="1515715" cy="408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𝑠</m:t>
                          </m:r>
                        </m:e>
                        <m:sub>
                          <m:r>
                            <a:rPr lang="en-US" sz="1000" b="0" i="1">
                              <a:latin typeface="Cambria Math" panose="02040503050406030204" pitchFamily="18" charset="0"/>
                            </a:rPr>
                            <m:t>𝑚𝑎𝑥</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700</m:t>
                          </m:r>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𝛾</m:t>
                              </m:r>
                            </m:e>
                            <m:sub>
                              <m:r>
                                <a:rPr lang="en-US" sz="1000" b="0" i="1">
                                  <a:latin typeface="Cambria Math" panose="02040503050406030204" pitchFamily="18" charset="0"/>
                                </a:rPr>
                                <m:t>𝑒</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𝛽</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𝑆𝑆</m:t>
                              </m:r>
                            </m:sub>
                          </m:sSub>
                        </m:den>
                      </m:f>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𝐶</m:t>
                          </m:r>
                        </m:sub>
                      </m:sSub>
                      <m:r>
                        <a:rPr lang="en-US" sz="1000" b="0" i="1">
                          <a:latin typeface="Cambria Math" panose="02040503050406030204" pitchFamily="18" charset="0"/>
                        </a:rPr>
                        <m:t>=</m:t>
                      </m:r>
                    </m:oMath>
                  </m:oMathPara>
                </a14:m>
                <a:endParaRPr lang="en-US" sz="1000" b="0"/>
              </a:p>
            </xdr:txBody>
          </xdr:sp>
        </mc:Choice>
        <mc:Fallback xmlns="">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476590" y="45907589"/>
                <a:ext cx="1515715" cy="408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𝑠_𝑚𝑎𝑥=(700</a:t>
                </a:r>
                <a:r>
                  <a:rPr lang="en-US" sz="1000" b="0" i="0">
                    <a:latin typeface="Cambria Math" panose="02040503050406030204" pitchFamily="18" charset="0"/>
                    <a:ea typeface="Cambria Math" panose="02040503050406030204" pitchFamily="18" charset="0"/>
                  </a:rPr>
                  <a:t>𝛾_</a:t>
                </a:r>
                <a:r>
                  <a:rPr lang="en-US" sz="1000" b="0" i="0">
                    <a:latin typeface="Cambria Math" panose="02040503050406030204" pitchFamily="18" charset="0"/>
                  </a:rPr>
                  <a:t>𝑒)/(</a:t>
                </a:r>
                <a:r>
                  <a:rPr lang="en-US" sz="1000" b="0" i="0">
                    <a:latin typeface="Cambria Math" panose="02040503050406030204" pitchFamily="18" charset="0"/>
                    <a:ea typeface="Cambria Math" panose="02040503050406030204" pitchFamily="18" charset="0"/>
                  </a:rPr>
                  <a:t>𝛽_𝑆 </a:t>
                </a:r>
                <a:r>
                  <a:rPr lang="en-US" sz="1000" b="0" i="0">
                    <a:latin typeface="Cambria Math" panose="02040503050406030204" pitchFamily="18" charset="0"/>
                  </a:rPr>
                  <a:t>𝑓_𝑆𝑆 )−2𝑑_𝐶=</a:t>
                </a:r>
                <a:endParaRPr lang="en-US" sz="1000" b="0"/>
              </a:p>
            </xdr:txBody>
          </xdr:sp>
        </mc:Fallback>
      </mc:AlternateContent>
    </xdr:grpSp>
    <xdr:clientData/>
  </xdr:twoCellAnchor>
  <xdr:twoCellAnchor editAs="oneCell">
    <xdr:from>
      <xdr:col>1</xdr:col>
      <xdr:colOff>190500</xdr:colOff>
      <xdr:row>222</xdr:row>
      <xdr:rowOff>180975</xdr:rowOff>
    </xdr:from>
    <xdr:to>
      <xdr:col>4</xdr:col>
      <xdr:colOff>8282</xdr:colOff>
      <xdr:row>224</xdr:row>
      <xdr:rowOff>39844</xdr:rowOff>
    </xdr:to>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00100" y="43529250"/>
              <a:ext cx="1646582" cy="201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r>
                      <a:rPr lang="en-US" sz="1000" b="0" i="1">
                        <a:latin typeface="Cambria Math" panose="02040503050406030204" pitchFamily="18" charset="0"/>
                      </a:rPr>
                      <m:t>𝑠𝑝𝑎𝑐𝑖𝑛𝑔</m:t>
                    </m:r>
                    <m:r>
                      <a:rPr lang="en-US" sz="1000" b="0" i="1">
                        <a:latin typeface="Cambria Math" panose="02040503050406030204" pitchFamily="18" charset="0"/>
                      </a:rPr>
                      <m:t> </m:t>
                    </m:r>
                    <m:r>
                      <a:rPr lang="en-US" sz="1000" b="0" i="1">
                        <a:latin typeface="Cambria Math" panose="02040503050406030204" pitchFamily="18" charset="0"/>
                      </a:rPr>
                      <m:t>𝑢𝑠𝑒𝑑</m:t>
                    </m:r>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𝑠</m:t>
                        </m:r>
                      </m:e>
                      <m:sub>
                        <m:r>
                          <a:rPr lang="en-US" sz="1000" b="0" i="1">
                            <a:latin typeface="Cambria Math" panose="02040503050406030204" pitchFamily="18" charset="0"/>
                            <a:ea typeface="Cambria Math" panose="02040503050406030204" pitchFamily="18" charset="0"/>
                          </a:rPr>
                          <m:t>𝑚𝑎𝑥</m:t>
                        </m:r>
                      </m:sub>
                    </m:sSub>
                    <m:r>
                      <a:rPr lang="en-US" sz="1000" b="0" i="1">
                        <a:latin typeface="Cambria Math" panose="02040503050406030204" pitchFamily="18" charset="0"/>
                        <a:ea typeface="Cambria Math" panose="02040503050406030204" pitchFamily="18" charset="0"/>
                      </a:rPr>
                      <m:t>:</m:t>
                    </m:r>
                  </m:oMath>
                </m:oMathPara>
              </a14:m>
              <a:endParaRPr lang="en-US" sz="1000">
                <a:latin typeface="Arial" panose="020B0604020202020204" pitchFamily="34" charset="0"/>
                <a:cs typeface="Arial" panose="020B0604020202020204" pitchFamily="34" charset="0"/>
              </a:endParaRPr>
            </a:p>
          </xdr:txBody>
        </xdr:sp>
      </mc:Choice>
      <mc:Fallback xmlns="">
        <xdr:sp macro="" textlink="">
          <xdr:nvSpPr>
            <xdr:cNvPr id="41" name="TextBox 40">
              <a:extLst>
                <a:ext uri="{FF2B5EF4-FFF2-40B4-BE49-F238E27FC236}">
                  <a16:creationId xmlns:a16="http://schemas.microsoft.com/office/drawing/2014/main" id="{00000000-0008-0000-0000-00003A000000}"/>
                </a:ext>
              </a:extLst>
            </xdr:cNvPr>
            <xdr:cNvSpPr txBox="1"/>
          </xdr:nvSpPr>
          <xdr:spPr>
            <a:xfrm>
              <a:off x="800100" y="43529250"/>
              <a:ext cx="1646582" cy="201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𝐶ℎ𝑒𝑐𝑘 𝑠𝑝𝑎𝑐𝑖𝑛𝑔 𝑢𝑠𝑒𝑑</a:t>
              </a:r>
              <a:r>
                <a:rPr lang="en-US" sz="1000" b="0" i="0">
                  <a:latin typeface="Cambria Math" panose="02040503050406030204" pitchFamily="18" charset="0"/>
                  <a:ea typeface="Cambria Math" panose="02040503050406030204" pitchFamily="18" charset="0"/>
                </a:rPr>
                <a:t>≤𝑠_𝑚𝑎𝑥:</a:t>
              </a:r>
              <a:endParaRPr lang="en-US" sz="1000">
                <a:latin typeface="Arial" panose="020B0604020202020204" pitchFamily="34" charset="0"/>
                <a:cs typeface="Arial" panose="020B0604020202020204" pitchFamily="34" charset="0"/>
              </a:endParaRPr>
            </a:p>
          </xdr:txBody>
        </xdr:sp>
      </mc:Fallback>
    </mc:AlternateContent>
    <xdr:clientData/>
  </xdr:twoCellAnchor>
  <xdr:oneCellAnchor>
    <xdr:from>
      <xdr:col>6</xdr:col>
      <xdr:colOff>49696</xdr:colOff>
      <xdr:row>204</xdr:row>
      <xdr:rowOff>8284</xdr:rowOff>
    </xdr:from>
    <xdr:ext cx="232371" cy="270015"/>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3078646" y="47261809"/>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5</xdr:col>
      <xdr:colOff>177133</xdr:colOff>
      <xdr:row>208</xdr:row>
      <xdr:rowOff>72569</xdr:rowOff>
    </xdr:from>
    <xdr:ext cx="232371" cy="270015"/>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3299216" y="34064311"/>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6</xdr:col>
      <xdr:colOff>165238</xdr:colOff>
      <xdr:row>215</xdr:row>
      <xdr:rowOff>35615</xdr:rowOff>
    </xdr:from>
    <xdr:ext cx="232371" cy="270015"/>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3765688" y="41174090"/>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5</xdr:col>
      <xdr:colOff>171635</xdr:colOff>
      <xdr:row>220</xdr:row>
      <xdr:rowOff>54761</xdr:rowOff>
    </xdr:from>
    <xdr:ext cx="232371" cy="270015"/>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3293718" y="37423549"/>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twoCellAnchor editAs="oneCell">
    <xdr:from>
      <xdr:col>0</xdr:col>
      <xdr:colOff>82830</xdr:colOff>
      <xdr:row>232</xdr:row>
      <xdr:rowOff>189296</xdr:rowOff>
    </xdr:from>
    <xdr:to>
      <xdr:col>3</xdr:col>
      <xdr:colOff>110193</xdr:colOff>
      <xdr:row>235</xdr:row>
      <xdr:rowOff>47523</xdr:rowOff>
    </xdr:to>
    <xdr:grpSp>
      <xdr:nvGrpSpPr>
        <xdr:cNvPr id="46" name="Group 45">
          <a:extLst>
            <a:ext uri="{FF2B5EF4-FFF2-40B4-BE49-F238E27FC236}">
              <a16:creationId xmlns:a16="http://schemas.microsoft.com/office/drawing/2014/main" id="{00000000-0008-0000-0000-00002E000000}"/>
            </a:ext>
          </a:extLst>
        </xdr:cNvPr>
        <xdr:cNvGrpSpPr/>
      </xdr:nvGrpSpPr>
      <xdr:grpSpPr>
        <a:xfrm>
          <a:off x="82830" y="41261096"/>
          <a:ext cx="1799013" cy="601177"/>
          <a:chOff x="82830" y="47500760"/>
          <a:chExt cx="1857405" cy="579970"/>
        </a:xfrm>
      </xdr:grpSpPr>
      <mc:AlternateContent xmlns:mc="http://schemas.openxmlformats.org/markup-compatibility/2006" xmlns:a14="http://schemas.microsoft.com/office/drawing/2010/main">
        <mc:Choice Requires="a14">
          <xdr:sp macro="" textlink="">
            <xdr:nvSpPr>
              <xdr:cNvPr id="47" name="Text Box 34">
                <a:extLst>
                  <a:ext uri="{FF2B5EF4-FFF2-40B4-BE49-F238E27FC236}">
                    <a16:creationId xmlns:a16="http://schemas.microsoft.com/office/drawing/2014/main" id="{00000000-0008-0000-0000-00002F000000}"/>
                  </a:ext>
                </a:extLst>
              </xdr:cNvPr>
              <xdr:cNvSpPr txBox="1">
                <a:spLocks noChangeArrowheads="1"/>
              </xdr:cNvSpPr>
            </xdr:nvSpPr>
            <xdr:spPr bwMode="auto">
              <a:xfrm>
                <a:off x="82830" y="47500760"/>
                <a:ext cx="1857405" cy="381000"/>
              </a:xfrm>
              <a:prstGeom prst="rect">
                <a:avLst/>
              </a:prstGeom>
              <a:noFill/>
              <a:ln w="9525">
                <a:noFill/>
                <a:miter lim="800000"/>
                <a:headEnd/>
                <a:tailEnd/>
              </a:ln>
            </xdr:spPr>
            <xdr:txBody>
              <a:bodyPr wrap="none" lIns="27432" tIns="22860" rIns="0" bIns="0" anchor="t" upright="1">
                <a:noAutofit/>
              </a:bodyPr>
              <a:lstStyle/>
              <a:p>
                <a:pPr/>
                <a14:m>
                  <m:oMathPara xmlns:m="http://schemas.openxmlformats.org/officeDocument/2006/math">
                    <m:oMathParaPr>
                      <m:jc m:val="left"/>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1.3</m:t>
                          </m:r>
                          <m:r>
                            <a:rPr lang="en-US" sz="1000" b="0" i="1">
                              <a:latin typeface="Cambria Math" panose="02040503050406030204" pitchFamily="18" charset="0"/>
                              <a:ea typeface="Cambria Math" panose="02040503050406030204" pitchFamily="18" charset="0"/>
                            </a:rPr>
                            <m:t>𝑏</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 </m:t>
                              </m:r>
                              <m:r>
                                <a:rPr lang="en-US" sz="1000" b="0" i="1">
                                  <a:latin typeface="Cambria Math" panose="02040503050406030204" pitchFamily="18" charset="0"/>
                                  <a:ea typeface="Cambria Math" panose="02040503050406030204" pitchFamily="18" charset="0"/>
                                </a:rPr>
                                <m:t>𝑡</m:t>
                              </m:r>
                            </m:e>
                            <m:sub>
                              <m:r>
                                <a:rPr lang="en-US" sz="1000" b="0" i="1">
                                  <a:latin typeface="Cambria Math" panose="02040503050406030204" pitchFamily="18" charset="0"/>
                                  <a:ea typeface="Cambria Math" panose="02040503050406030204" pitchFamily="18" charset="0"/>
                                </a:rPr>
                                <m:t>𝐷𝑒𝑐𝑘</m:t>
                              </m:r>
                            </m:sub>
                          </m:sSub>
                        </m:num>
                        <m:den>
                          <m:r>
                            <a:rPr lang="en-US" sz="1000" b="0" i="1">
                              <a:latin typeface="Cambria Math" panose="02040503050406030204" pitchFamily="18" charset="0"/>
                              <a:ea typeface="Cambria Math" panose="02040503050406030204" pitchFamily="18" charset="0"/>
                            </a:rPr>
                            <m:t>2(</m:t>
                          </m:r>
                          <m:r>
                            <a:rPr lang="en-US" sz="1000" b="0" i="1">
                              <a:latin typeface="Cambria Math" panose="02040503050406030204" pitchFamily="18" charset="0"/>
                              <a:ea typeface="Cambria Math" panose="02040503050406030204" pitchFamily="18" charset="0"/>
                            </a:rPr>
                            <m:t>𝑏</m:t>
                          </m:r>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𝑡</m:t>
                              </m:r>
                            </m:e>
                            <m:sub>
                              <m:r>
                                <a:rPr lang="en-US" sz="1000" b="0" i="1">
                                  <a:latin typeface="Cambria Math" panose="02040503050406030204" pitchFamily="18" charset="0"/>
                                  <a:ea typeface="Cambria Math" panose="02040503050406030204" pitchFamily="18" charset="0"/>
                                </a:rPr>
                                <m:t>𝐷𝑒𝑐𝑘</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en>
                      </m:f>
                    </m:oMath>
                  </m:oMathPara>
                </a14:m>
                <a:endParaRPr lang="en-US" sz="1000"/>
              </a:p>
            </xdr:txBody>
          </xdr:sp>
        </mc:Choice>
        <mc:Fallback xmlns="">
          <xdr:sp macro="" textlink="">
            <xdr:nvSpPr>
              <xdr:cNvPr id="47" name="Text Box 34">
                <a:extLst>
                  <a:ext uri="{FF2B5EF4-FFF2-40B4-BE49-F238E27FC236}">
                    <a16:creationId xmlns:a16="http://schemas.microsoft.com/office/drawing/2014/main" id="{00000000-0008-0000-0000-000020000000}"/>
                  </a:ext>
                </a:extLst>
              </xdr:cNvPr>
              <xdr:cNvSpPr txBox="1">
                <a:spLocks noChangeArrowheads="1"/>
              </xdr:cNvSpPr>
            </xdr:nvSpPr>
            <xdr:spPr bwMode="auto">
              <a:xfrm>
                <a:off x="82830" y="47500760"/>
                <a:ext cx="1857405" cy="381000"/>
              </a:xfrm>
              <a:prstGeom prst="rect">
                <a:avLst/>
              </a:prstGeom>
              <a:noFill/>
              <a:ln w="9525">
                <a:noFill/>
                <a:miter lim="800000"/>
                <a:headEnd/>
                <a:tailEnd/>
              </a:ln>
            </xdr:spPr>
            <xdr:txBody>
              <a:bodyPr wrap="none" lIns="27432" tIns="22860" rIns="0" bIns="0" anchor="t" upright="1">
                <a:noAutofit/>
              </a:bodyPr>
              <a:lstStyle/>
              <a:p>
                <a:pPr/>
                <a:r>
                  <a:rPr lang="en-US" sz="1000" b="0" i="0">
                    <a:latin typeface="Cambria Math" panose="02040503050406030204" pitchFamily="18" charset="0"/>
                  </a:rPr>
                  <a:t>𝐴_𝑆</a:t>
                </a:r>
                <a:r>
                  <a:rPr lang="en-US" sz="1000" b="0" i="0">
                    <a:latin typeface="Cambria Math" panose="02040503050406030204" pitchFamily="18" charset="0"/>
                    <a:ea typeface="Cambria Math" panose="02040503050406030204" pitchFamily="18" charset="0"/>
                  </a:rPr>
                  <a:t>≥(1.3𝑏〖 𝑡〗_𝐷𝑒𝑐𝑘)/(2(𝑏+𝑡_𝐷𝑒𝑐𝑘)𝑓_𝑦 )</a:t>
                </a:r>
                <a:endParaRPr lang="en-US" sz="1000"/>
              </a:p>
            </xdr:txBody>
          </xdr:sp>
        </mc:Fallback>
      </mc:AlternateContent>
      <mc:AlternateContent xmlns:mc="http://schemas.openxmlformats.org/markup-compatibility/2006" xmlns:a14="http://schemas.microsoft.com/office/drawing/2010/main">
        <mc:Choice Requires="a14">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82830" y="47891307"/>
                <a:ext cx="1298713" cy="189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0.11</m:t>
                      </m:r>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≤0.60</m:t>
                      </m:r>
                    </m:oMath>
                  </m:oMathPara>
                </a14:m>
                <a:endParaRPr lang="en-US" sz="1100"/>
              </a:p>
            </xdr:txBody>
          </xdr:sp>
        </mc:Choice>
        <mc:Fallback xmlns="">
          <xdr:sp macro="" textlink="">
            <xdr:nvSpPr>
              <xdr:cNvPr id="48" name="TextBox 47">
                <a:extLst>
                  <a:ext uri="{FF2B5EF4-FFF2-40B4-BE49-F238E27FC236}">
                    <a16:creationId xmlns:a16="http://schemas.microsoft.com/office/drawing/2014/main" id="{00000000-0008-0000-0000-000021000000}"/>
                  </a:ext>
                </a:extLst>
              </xdr:cNvPr>
              <xdr:cNvSpPr txBox="1"/>
            </xdr:nvSpPr>
            <xdr:spPr>
              <a:xfrm>
                <a:off x="82830" y="47891307"/>
                <a:ext cx="1298713" cy="189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0.11</a:t>
                </a:r>
                <a:r>
                  <a:rPr lang="en-US" sz="1000" b="0" i="0">
                    <a:latin typeface="Cambria Math" panose="02040503050406030204" pitchFamily="18" charset="0"/>
                    <a:ea typeface="Cambria Math" panose="02040503050406030204" pitchFamily="18" charset="0"/>
                  </a:rPr>
                  <a:t>≤𝐴_𝑆≤0.60</a:t>
                </a:r>
                <a:endParaRPr lang="en-US" sz="1100"/>
              </a:p>
            </xdr:txBody>
          </xdr:sp>
        </mc:Fallback>
      </mc:AlternateContent>
    </xdr:grpSp>
    <xdr:clientData/>
  </xdr:twoCellAnchor>
  <xdr:twoCellAnchor editAs="oneCell">
    <xdr:from>
      <xdr:col>7</xdr:col>
      <xdr:colOff>215348</xdr:colOff>
      <xdr:row>243</xdr:row>
      <xdr:rowOff>8282</xdr:rowOff>
    </xdr:from>
    <xdr:to>
      <xdr:col>9</xdr:col>
      <xdr:colOff>158384</xdr:colOff>
      <xdr:row>244</xdr:row>
      <xdr:rowOff>16931</xdr:rowOff>
    </xdr:to>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3749123" y="55910507"/>
              <a:ext cx="1268069"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r>
                          <a:rPr lang="en-US" sz="1000" b="0" i="1">
                            <a:latin typeface="Cambria Math" panose="02040503050406030204" pitchFamily="18" charset="0"/>
                            <a:ea typeface="Cambria Math" panose="02040503050406030204" pitchFamily="18" charset="0"/>
                          </a:rPr>
                          <m:t> </m:t>
                        </m:r>
                        <m:r>
                          <a:rPr lang="en-US" sz="1000" b="0" i="1">
                            <a:latin typeface="Cambria Math" panose="02040503050406030204" pitchFamily="18" charset="0"/>
                            <a:ea typeface="Cambria Math" panose="02040503050406030204" pitchFamily="18" charset="0"/>
                          </a:rPr>
                          <m:t>𝑚𝑖𝑛</m:t>
                        </m:r>
                      </m:sub>
                    </m:sSub>
                  </m:oMath>
                </m:oMathPara>
              </a14:m>
              <a:endParaRPr lang="en-US" sz="1000"/>
            </a:p>
          </xdr:txBody>
        </xdr:sp>
      </mc:Choice>
      <mc:Fallback xmlns="">
        <xdr:sp macro="" textlink="">
          <xdr:nvSpPr>
            <xdr:cNvPr id="49" name="TextBox 48">
              <a:extLst>
                <a:ext uri="{FF2B5EF4-FFF2-40B4-BE49-F238E27FC236}">
                  <a16:creationId xmlns:a16="http://schemas.microsoft.com/office/drawing/2014/main" id="{00000000-0008-0000-0000-000022000000}"/>
                </a:ext>
              </a:extLst>
            </xdr:cNvPr>
            <xdr:cNvSpPr txBox="1"/>
          </xdr:nvSpPr>
          <xdr:spPr>
            <a:xfrm>
              <a:off x="3749123" y="55910507"/>
              <a:ext cx="1268069"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000" b="0" i="0">
                  <a:latin typeface="Cambria Math" panose="02040503050406030204" pitchFamily="18" charset="0"/>
                </a:rPr>
                <a:t>𝐶ℎ𝑒𝑐𝑘 𝐴_𝑆</a:t>
              </a:r>
              <a:r>
                <a:rPr lang="en-US" sz="1000" b="0" i="0">
                  <a:latin typeface="Cambria Math" panose="02040503050406030204" pitchFamily="18" charset="0"/>
                  <a:ea typeface="Cambria Math" panose="02040503050406030204" pitchFamily="18" charset="0"/>
                </a:rPr>
                <a:t>≥𝐴_(𝑆 𝑚𝑖𝑛)</a:t>
              </a:r>
              <a:endParaRPr lang="en-US" sz="1000"/>
            </a:p>
          </xdr:txBody>
        </xdr:sp>
      </mc:Fallback>
    </mc:AlternateContent>
    <xdr:clientData/>
  </xdr:twoCellAnchor>
  <xdr:oneCellAnchor>
    <xdr:from>
      <xdr:col>7</xdr:col>
      <xdr:colOff>215348</xdr:colOff>
      <xdr:row>255</xdr:row>
      <xdr:rowOff>8282</xdr:rowOff>
    </xdr:from>
    <xdr:ext cx="1268897" cy="182217"/>
    <mc:AlternateContent xmlns:mc="http://schemas.openxmlformats.org/markup-compatibility/2006" xmlns:a14="http://schemas.microsoft.com/office/drawing/2010/main">
      <mc:Choice Requires="a14">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3749123" y="58091732"/>
              <a:ext cx="1268897"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r>
                          <a:rPr lang="en-US" sz="1000" b="0" i="1">
                            <a:latin typeface="Cambria Math" panose="02040503050406030204" pitchFamily="18" charset="0"/>
                            <a:ea typeface="Cambria Math" panose="02040503050406030204" pitchFamily="18" charset="0"/>
                          </a:rPr>
                          <m:t> </m:t>
                        </m:r>
                        <m:r>
                          <a:rPr lang="en-US" sz="1000" b="0" i="1">
                            <a:latin typeface="Cambria Math" panose="02040503050406030204" pitchFamily="18" charset="0"/>
                            <a:ea typeface="Cambria Math" panose="02040503050406030204" pitchFamily="18" charset="0"/>
                          </a:rPr>
                          <m:t>𝑚𝑖𝑛</m:t>
                        </m:r>
                      </m:sub>
                    </m:sSub>
                  </m:oMath>
                </m:oMathPara>
              </a14:m>
              <a:endParaRPr lang="en-US" sz="1000"/>
            </a:p>
          </xdr:txBody>
        </xdr:sp>
      </mc:Choice>
      <mc:Fallback xmlns="">
        <xdr:sp macro="" textlink="">
          <xdr:nvSpPr>
            <xdr:cNvPr id="50" name="TextBox 49">
              <a:extLst>
                <a:ext uri="{FF2B5EF4-FFF2-40B4-BE49-F238E27FC236}">
                  <a16:creationId xmlns:a16="http://schemas.microsoft.com/office/drawing/2014/main" id="{00000000-0008-0000-0000-000042000000}"/>
                </a:ext>
              </a:extLst>
            </xdr:cNvPr>
            <xdr:cNvSpPr txBox="1"/>
          </xdr:nvSpPr>
          <xdr:spPr>
            <a:xfrm>
              <a:off x="3749123" y="58091732"/>
              <a:ext cx="1268897"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000" b="0" i="0">
                  <a:latin typeface="Cambria Math" panose="02040503050406030204" pitchFamily="18" charset="0"/>
                </a:rPr>
                <a:t>𝐶ℎ𝑒𝑐𝑘 𝐴_𝑆</a:t>
              </a:r>
              <a:r>
                <a:rPr lang="en-US" sz="1000" b="0" i="0">
                  <a:latin typeface="Cambria Math" panose="02040503050406030204" pitchFamily="18" charset="0"/>
                  <a:ea typeface="Cambria Math" panose="02040503050406030204" pitchFamily="18" charset="0"/>
                </a:rPr>
                <a:t>≥𝐴_(𝑆 𝑚𝑖𝑛)</a:t>
              </a:r>
              <a:endParaRPr lang="en-US" sz="1000"/>
            </a:p>
          </xdr:txBody>
        </xdr:sp>
      </mc:Fallback>
    </mc:AlternateContent>
    <xdr:clientData/>
  </xdr:oneCellAnchor>
  <xdr:oneCellAnchor>
    <xdr:from>
      <xdr:col>0</xdr:col>
      <xdr:colOff>190500</xdr:colOff>
      <xdr:row>248</xdr:row>
      <xdr:rowOff>12302</xdr:rowOff>
    </xdr:from>
    <xdr:ext cx="731867" cy="349648"/>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190500" y="47665877"/>
              <a:ext cx="731867"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r>
                          <a:rPr lang="en-US" sz="1100" b="0" i="1">
                            <a:latin typeface="Cambria Math" panose="02040503050406030204" pitchFamily="18" charset="0"/>
                          </a:rPr>
                          <m:t>220</m:t>
                        </m:r>
                      </m:num>
                      <m:den>
                        <m:rad>
                          <m:radPr>
                            <m:degHide m:val="on"/>
                            <m:ctrlPr>
                              <a:rPr lang="en-US" sz="1100" b="0" i="1">
                                <a:latin typeface="Cambria Math" panose="02040503050406030204" pitchFamily="18" charset="0"/>
                              </a:rPr>
                            </m:ctrlPr>
                          </m:radPr>
                          <m:deg/>
                          <m:e>
                            <m:r>
                              <a:rPr lang="en-US" sz="1100" b="0" i="1">
                                <a:latin typeface="Cambria Math" panose="02040503050406030204" pitchFamily="18" charset="0"/>
                              </a:rPr>
                              <m:t>𝑆</m:t>
                            </m:r>
                          </m:e>
                        </m:rad>
                      </m:den>
                    </m:f>
                    <m:r>
                      <a:rPr lang="en-US" sz="1100" b="0" i="1">
                        <a:latin typeface="Cambria Math" panose="02040503050406030204" pitchFamily="18" charset="0"/>
                        <a:ea typeface="Cambria Math" panose="02040503050406030204" pitchFamily="18" charset="0"/>
                      </a:rPr>
                      <m:t>≤67%</m:t>
                    </m:r>
                  </m:oMath>
                </m:oMathPara>
              </a14:m>
              <a:endParaRPr lang="en-US" sz="1100"/>
            </a:p>
          </xdr:txBody>
        </xdr:sp>
      </mc:Choice>
      <mc:Fallback xmlns="">
        <xdr:sp macro="" textlink="">
          <xdr:nvSpPr>
            <xdr:cNvPr id="51" name="TextBox 50">
              <a:extLst>
                <a:ext uri="{FF2B5EF4-FFF2-40B4-BE49-F238E27FC236}">
                  <a16:creationId xmlns:a16="http://schemas.microsoft.com/office/drawing/2014/main" id="{00000000-0008-0000-0000-00003B000000}"/>
                </a:ext>
              </a:extLst>
            </xdr:cNvPr>
            <xdr:cNvSpPr txBox="1"/>
          </xdr:nvSpPr>
          <xdr:spPr>
            <a:xfrm>
              <a:off x="190500" y="47665877"/>
              <a:ext cx="731867"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220/√𝑆</a:t>
              </a:r>
              <a:r>
                <a:rPr lang="en-US" sz="1100" b="0" i="0">
                  <a:latin typeface="Cambria Math" panose="02040503050406030204" pitchFamily="18" charset="0"/>
                  <a:ea typeface="Cambria Math" panose="02040503050406030204" pitchFamily="18" charset="0"/>
                </a:rPr>
                <a:t>≤67%</a:t>
              </a:r>
              <a:endParaRPr lang="en-US" sz="1100"/>
            </a:p>
          </xdr:txBody>
        </xdr:sp>
      </mc:Fallback>
    </mc:AlternateContent>
    <xdr:clientData/>
  </xdr:oneCellAnchor>
  <xdr:oneCellAnchor>
    <xdr:from>
      <xdr:col>7</xdr:col>
      <xdr:colOff>207066</xdr:colOff>
      <xdr:row>256</xdr:row>
      <xdr:rowOff>0</xdr:rowOff>
    </xdr:from>
    <xdr:ext cx="1268897" cy="182217"/>
    <mc:AlternateContent xmlns:mc="http://schemas.openxmlformats.org/markup-compatibility/2006" xmlns:a14="http://schemas.microsoft.com/office/drawing/2010/main">
      <mc:Choice Requires="a14">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3740841" y="58283475"/>
              <a:ext cx="1268897"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r>
                          <a:rPr lang="en-US" sz="1000" b="0" i="1">
                            <a:latin typeface="Cambria Math" panose="02040503050406030204" pitchFamily="18" charset="0"/>
                            <a:ea typeface="Cambria Math" panose="02040503050406030204" pitchFamily="18" charset="0"/>
                          </a:rPr>
                          <m:t>_</m:t>
                        </m:r>
                        <m:r>
                          <a:rPr lang="en-US" sz="1000" b="0" i="1">
                            <a:latin typeface="Cambria Math" panose="02040503050406030204" pitchFamily="18" charset="0"/>
                            <a:ea typeface="Cambria Math" panose="02040503050406030204" pitchFamily="18" charset="0"/>
                          </a:rPr>
                          <m:t>𝑅𝑒𝑞</m:t>
                        </m:r>
                      </m:sub>
                    </m:sSub>
                  </m:oMath>
                </m:oMathPara>
              </a14:m>
              <a:endParaRPr lang="en-US" sz="1000"/>
            </a:p>
          </xdr:txBody>
        </xdr:sp>
      </mc:Choice>
      <mc:Fallback xmlns="">
        <xdr:sp macro="" textlink="">
          <xdr:nvSpPr>
            <xdr:cNvPr id="52" name="TextBox 51">
              <a:extLst>
                <a:ext uri="{FF2B5EF4-FFF2-40B4-BE49-F238E27FC236}">
                  <a16:creationId xmlns:a16="http://schemas.microsoft.com/office/drawing/2014/main" id="{00000000-0008-0000-0000-000044000000}"/>
                </a:ext>
              </a:extLst>
            </xdr:cNvPr>
            <xdr:cNvSpPr txBox="1"/>
          </xdr:nvSpPr>
          <xdr:spPr>
            <a:xfrm>
              <a:off x="3740841" y="58283475"/>
              <a:ext cx="1268897"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000" b="0" i="0">
                  <a:latin typeface="Cambria Math" panose="02040503050406030204" pitchFamily="18" charset="0"/>
                </a:rPr>
                <a:t>𝐶ℎ𝑒𝑐𝑘 𝐴_𝑆</a:t>
              </a:r>
              <a:r>
                <a:rPr lang="en-US" sz="1000" b="0" i="0">
                  <a:latin typeface="Cambria Math" panose="02040503050406030204" pitchFamily="18" charset="0"/>
                  <a:ea typeface="Cambria Math" panose="02040503050406030204" pitchFamily="18" charset="0"/>
                </a:rPr>
                <a:t>≥𝐴_(𝑆_𝑅𝑒𝑞)</a:t>
              </a:r>
              <a:endParaRPr lang="en-US" sz="1000"/>
            </a:p>
          </xdr:txBody>
        </xdr:sp>
      </mc:Fallback>
    </mc:AlternateContent>
    <xdr:clientData/>
  </xdr:oneCellAnchor>
  <xdr:oneCellAnchor>
    <xdr:from>
      <xdr:col>2</xdr:col>
      <xdr:colOff>58001</xdr:colOff>
      <xdr:row>244</xdr:row>
      <xdr:rowOff>118823</xdr:rowOff>
    </xdr:from>
    <xdr:ext cx="1383258" cy="190500"/>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1289516" y="41860452"/>
              <a:ext cx="1383258"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𝑆</m:t>
                    </m:r>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𝑆</m:t>
                        </m:r>
                      </m:e>
                      <m:sub>
                        <m:r>
                          <a:rPr lang="en-US" sz="1000" b="0" i="1">
                            <a:latin typeface="Cambria Math" panose="02040503050406030204" pitchFamily="18" charset="0"/>
                          </a:rPr>
                          <m:t>𝐺𝑑𝑟</m:t>
                        </m:r>
                      </m:sub>
                    </m:sSub>
                    <m:r>
                      <a:rPr lang="en-US" sz="1000" b="0" i="1">
                        <a:latin typeface="Cambria Math" panose="02040503050406030204" pitchFamily="18" charset="0"/>
                      </a:rPr>
                      <m:t>−</m:t>
                    </m:r>
                    <m:r>
                      <a:rPr lang="en-US" sz="1000" b="0" i="1">
                        <a:latin typeface="Cambria Math" panose="02040503050406030204" pitchFamily="18" charset="0"/>
                      </a:rPr>
                      <m:t>𝑔𝑖𝑟𝑑𝑒𝑟</m:t>
                    </m:r>
                    <m:r>
                      <a:rPr lang="en-US" sz="1000" b="0" i="1">
                        <a:latin typeface="Cambria Math" panose="02040503050406030204" pitchFamily="18" charset="0"/>
                      </a:rPr>
                      <m:t> </m:t>
                    </m:r>
                    <m:r>
                      <a:rPr lang="en-US" sz="1000" b="0" i="1">
                        <a:latin typeface="Cambria Math" panose="02040503050406030204" pitchFamily="18" charset="0"/>
                      </a:rPr>
                      <m:t>𝑤𝑖𝑑𝑡h</m:t>
                    </m:r>
                    <m:r>
                      <a:rPr lang="en-US" sz="1000" b="0" i="1">
                        <a:latin typeface="Cambria Math" panose="02040503050406030204" pitchFamily="18" charset="0"/>
                      </a:rPr>
                      <m:t>=</m:t>
                    </m:r>
                  </m:oMath>
                </m:oMathPara>
              </a14:m>
              <a:endParaRPr lang="en-US" sz="1000"/>
            </a:p>
          </xdr:txBody>
        </xdr:sp>
      </mc:Choice>
      <mc:Fallback xmlns="">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1289516" y="41860452"/>
              <a:ext cx="1383258"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𝑆=𝑆_𝐺𝑑𝑟−𝑔𝑖𝑟𝑑𝑒𝑟 𝑤𝑖𝑑𝑡ℎ=</a:t>
              </a:r>
              <a:endParaRPr lang="en-US" sz="1000"/>
            </a:p>
          </xdr:txBody>
        </xdr:sp>
      </mc:Fallback>
    </mc:AlternateContent>
    <xdr:clientData/>
  </xdr:oneCellAnchor>
  <xdr:oneCellAnchor>
    <xdr:from>
      <xdr:col>5</xdr:col>
      <xdr:colOff>484010</xdr:colOff>
      <xdr:row>251</xdr:row>
      <xdr:rowOff>100283</xdr:rowOff>
    </xdr:from>
    <xdr:ext cx="232371" cy="270015"/>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3606093" y="42852139"/>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3</xdr:col>
      <xdr:colOff>91109</xdr:colOff>
      <xdr:row>248</xdr:row>
      <xdr:rowOff>16566</xdr:rowOff>
    </xdr:from>
    <xdr:ext cx="410753" cy="349648"/>
    <mc:AlternateContent xmlns:mc="http://schemas.openxmlformats.org/markup-compatibility/2006" xmlns:a14="http://schemas.microsoft.com/office/drawing/2010/main">
      <mc:Choice Requires="a14">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1605584" y="56718891"/>
              <a:ext cx="410753"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r>
                          <a:rPr lang="en-US" sz="1100" b="0" i="1">
                            <a:latin typeface="Cambria Math" panose="02040503050406030204" pitchFamily="18" charset="0"/>
                          </a:rPr>
                          <m:t>220</m:t>
                        </m:r>
                      </m:num>
                      <m:den>
                        <m:rad>
                          <m:radPr>
                            <m:degHide m:val="on"/>
                            <m:ctrlPr>
                              <a:rPr lang="en-US" sz="1100" b="0" i="1">
                                <a:latin typeface="Cambria Math" panose="02040503050406030204" pitchFamily="18" charset="0"/>
                              </a:rPr>
                            </m:ctrlPr>
                          </m:radPr>
                          <m:deg/>
                          <m:e>
                            <m:r>
                              <a:rPr lang="en-US" sz="1100" b="0" i="1">
                                <a:latin typeface="Cambria Math" panose="02040503050406030204" pitchFamily="18" charset="0"/>
                              </a:rPr>
                              <m:t>𝑆</m:t>
                            </m:r>
                          </m:e>
                        </m:rad>
                      </m:den>
                    </m:f>
                    <m:r>
                      <a:rPr lang="en-US" sz="11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55" name="TextBox 54">
              <a:extLst>
                <a:ext uri="{FF2B5EF4-FFF2-40B4-BE49-F238E27FC236}">
                  <a16:creationId xmlns:a16="http://schemas.microsoft.com/office/drawing/2014/main" id="{00000000-0008-0000-0000-00004C000000}"/>
                </a:ext>
              </a:extLst>
            </xdr:cNvPr>
            <xdr:cNvSpPr txBox="1"/>
          </xdr:nvSpPr>
          <xdr:spPr>
            <a:xfrm>
              <a:off x="1605584" y="56718891"/>
              <a:ext cx="410753"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220/√𝑆</a:t>
              </a:r>
              <a:r>
                <a:rPr lang="en-US" sz="1100" b="0" i="0">
                  <a:latin typeface="Cambria Math" panose="02040503050406030204" pitchFamily="18" charset="0"/>
                  <a:ea typeface="Cambria Math" panose="02040503050406030204" pitchFamily="18" charset="0"/>
                </a:rPr>
                <a:t>=</a:t>
              </a:r>
              <a:endParaRPr lang="en-US" sz="1100"/>
            </a:p>
          </xdr:txBody>
        </xdr:sp>
      </mc:Fallback>
    </mc:AlternateContent>
    <xdr:clientData/>
  </xdr:oneCellAnchor>
  <xdr:twoCellAnchor editAs="oneCell">
    <xdr:from>
      <xdr:col>0</xdr:col>
      <xdr:colOff>377826</xdr:colOff>
      <xdr:row>12</xdr:row>
      <xdr:rowOff>3175</xdr:rowOff>
    </xdr:from>
    <xdr:to>
      <xdr:col>8</xdr:col>
      <xdr:colOff>641157</xdr:colOff>
      <xdr:row>31</xdr:row>
      <xdr:rowOff>59516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77826" y="1933575"/>
          <a:ext cx="5165724" cy="2831291"/>
        </a:xfrm>
        <a:prstGeom prst="rect">
          <a:avLst/>
        </a:prstGeom>
      </xdr:spPr>
    </xdr:pic>
    <xdr:clientData/>
  </xdr:twoCellAnchor>
  <xdr:oneCellAnchor>
    <xdr:from>
      <xdr:col>3</xdr:col>
      <xdr:colOff>68352</xdr:colOff>
      <xdr:row>155</xdr:row>
      <xdr:rowOff>268641</xdr:rowOff>
    </xdr:from>
    <xdr:ext cx="232371" cy="270015"/>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1915625" y="24485232"/>
          <a:ext cx="232371" cy="2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3</xdr:col>
      <xdr:colOff>104277</xdr:colOff>
      <xdr:row>138</xdr:row>
      <xdr:rowOff>361121</xdr:rowOff>
    </xdr:from>
    <xdr:ext cx="157370" cy="28658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1952127" y="22084471"/>
          <a:ext cx="157370" cy="28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3</xdr:col>
      <xdr:colOff>281755</xdr:colOff>
      <xdr:row>137</xdr:row>
      <xdr:rowOff>892</xdr:rowOff>
    </xdr:from>
    <xdr:ext cx="157370" cy="28658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2129028" y="20522937"/>
          <a:ext cx="157370" cy="28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2</a:t>
          </a:r>
        </a:p>
      </xdr:txBody>
    </xdr:sp>
    <xdr:clientData/>
  </xdr:oneCellAnchor>
  <xdr:oneCellAnchor>
    <xdr:from>
      <xdr:col>3</xdr:col>
      <xdr:colOff>200026</xdr:colOff>
      <xdr:row>227</xdr:row>
      <xdr:rowOff>142876</xdr:rowOff>
    </xdr:from>
    <xdr:ext cx="971550" cy="171450"/>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B03202C1-4F08-4395-A9FC-DE3582C714A0}"/>
                </a:ext>
              </a:extLst>
            </xdr:cNvPr>
            <xdr:cNvSpPr txBox="1"/>
          </xdr:nvSpPr>
          <xdr:spPr>
            <a:xfrm>
              <a:off x="1971676" y="40852726"/>
              <a:ext cx="971550"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𝑠𝑠</m:t>
                        </m:r>
                      </m:sub>
                    </m:sSub>
                    <m:r>
                      <a:rPr lang="en-US" sz="1000" b="0" i="1">
                        <a:latin typeface="Cambria Math" panose="02040503050406030204" pitchFamily="18" charset="0"/>
                        <a:ea typeface="Cambria Math" panose="02040503050406030204" pitchFamily="18" charset="0"/>
                        <a:sym typeface="Symbol" panose="05050102010706020507" pitchFamily="18" charset="2"/>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0.60</m:t>
                        </m:r>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oMath>
                </m:oMathPara>
              </a14:m>
              <a:endParaRPr lang="en-US" sz="1000"/>
            </a:p>
          </xdr:txBody>
        </xdr:sp>
      </mc:Choice>
      <mc:Fallback xmlns="">
        <xdr:sp macro="" textlink="">
          <xdr:nvSpPr>
            <xdr:cNvPr id="59" name="TextBox 58">
              <a:extLst>
                <a:ext uri="{FF2B5EF4-FFF2-40B4-BE49-F238E27FC236}">
                  <a16:creationId xmlns:a16="http://schemas.microsoft.com/office/drawing/2014/main" id="{B03202C1-4F08-4395-A9FC-DE3582C714A0}"/>
                </a:ext>
              </a:extLst>
            </xdr:cNvPr>
            <xdr:cNvSpPr txBox="1"/>
          </xdr:nvSpPr>
          <xdr:spPr>
            <a:xfrm>
              <a:off x="1971676" y="40852726"/>
              <a:ext cx="971550"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000" b="0" i="0">
                  <a:latin typeface="Cambria Math" panose="02040503050406030204" pitchFamily="18" charset="0"/>
                </a:rPr>
                <a:t>𝐶ℎ𝑒𝑐𝑘 𝑓_𝑠𝑠</a:t>
              </a:r>
              <a:r>
                <a:rPr lang="en-US" sz="1000" b="0" i="0">
                  <a:latin typeface="Cambria Math" panose="02040503050406030204" pitchFamily="18" charset="0"/>
                  <a:ea typeface="Cambria Math" panose="02040503050406030204" pitchFamily="18" charset="0"/>
                  <a:sym typeface="Symbol" panose="05050102010706020507" pitchFamily="18" charset="2"/>
                </a:rPr>
                <a:t></a:t>
              </a:r>
              <a:r>
                <a:rPr lang="en-US" sz="1000" b="0" i="0">
                  <a:latin typeface="Cambria Math" panose="02040503050406030204" pitchFamily="18" charset="0"/>
                  <a:ea typeface="Cambria Math" panose="02040503050406030204" pitchFamily="18" charset="0"/>
                </a:rPr>
                <a:t>〖0.60𝑓〗_𝑦</a:t>
              </a:r>
              <a:endParaRPr lang="en-US" sz="1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88</xdr:row>
      <xdr:rowOff>9525</xdr:rowOff>
    </xdr:from>
    <xdr:to>
      <xdr:col>3</xdr:col>
      <xdr:colOff>464384</xdr:colOff>
      <xdr:row>88</xdr:row>
      <xdr:rowOff>390525</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08100" y="14170025"/>
              <a:ext cx="1004134"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𝑎</m:t>
                    </m:r>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num>
                      <m:den>
                        <m:r>
                          <a:rPr lang="en-US" sz="1000" b="0" i="1">
                            <a:latin typeface="Cambria Math" panose="02040503050406030204" pitchFamily="18" charset="0"/>
                          </a:rPr>
                          <m:t>0.85</m:t>
                        </m:r>
                        <m:sSubSup>
                          <m:sSubSupPr>
                            <m:ctrlPr>
                              <a:rPr lang="en-US" sz="1000" b="0" i="1">
                                <a:latin typeface="Cambria Math" panose="02040503050406030204" pitchFamily="18" charset="0"/>
                              </a:rPr>
                            </m:ctrlPr>
                          </m:sSubSupPr>
                          <m:e>
                            <m:r>
                              <a:rPr lang="en-US" sz="1000" b="0" i="1">
                                <a:latin typeface="Cambria Math" panose="02040503050406030204" pitchFamily="18" charset="0"/>
                              </a:rPr>
                              <m:t>𝑓</m:t>
                            </m:r>
                          </m:e>
                          <m:sub>
                            <m:r>
                              <a:rPr lang="en-US" sz="1000" b="0" i="1">
                                <a:latin typeface="Cambria Math" panose="02040503050406030204" pitchFamily="18" charset="0"/>
                              </a:rPr>
                              <m:t>𝑐</m:t>
                            </m:r>
                          </m:sub>
                          <m:sup>
                            <m:r>
                              <a:rPr lang="en-US" sz="1000" b="0" i="1">
                                <a:latin typeface="Cambria Math" panose="02040503050406030204" pitchFamily="18" charset="0"/>
                              </a:rPr>
                              <m:t>′</m:t>
                            </m:r>
                          </m:sup>
                        </m:sSubSup>
                        <m:r>
                          <a:rPr lang="en-US" sz="1000" b="0" i="1">
                            <a:latin typeface="Cambria Math" panose="02040503050406030204" pitchFamily="18" charset="0"/>
                          </a:rPr>
                          <m:t>𝑏</m:t>
                        </m:r>
                      </m:den>
                    </m:f>
                    <m:r>
                      <a:rPr lang="en-US" sz="1000" b="0" i="1">
                        <a:latin typeface="Cambria Math" panose="02040503050406030204" pitchFamily="18" charset="0"/>
                      </a:rPr>
                      <m:t>=</m:t>
                    </m:r>
                  </m:oMath>
                </m:oMathPara>
              </a14:m>
              <a:endParaRPr lang="en-US" sz="1000">
                <a:latin typeface="Arial Narrow" panose="020B060602020203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08100" y="14170025"/>
              <a:ext cx="1004134"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𝑎=(𝐴_𝑆 𝑓_𝑦)/(0.85𝑓_𝑐^′ 𝑏)=</a:t>
              </a:r>
              <a:endParaRPr lang="en-US" sz="1000">
                <a:latin typeface="Arial Narrow" panose="020B0606020202030204" pitchFamily="34" charset="0"/>
                <a:cs typeface="Arial" panose="020B0604020202020204" pitchFamily="34" charset="0"/>
              </a:endParaRPr>
            </a:p>
          </xdr:txBody>
        </xdr:sp>
      </mc:Fallback>
    </mc:AlternateContent>
    <xdr:clientData/>
  </xdr:twoCellAnchor>
  <xdr:twoCellAnchor editAs="oneCell">
    <xdr:from>
      <xdr:col>2</xdr:col>
      <xdr:colOff>85725</xdr:colOff>
      <xdr:row>89</xdr:row>
      <xdr:rowOff>47625</xdr:rowOff>
    </xdr:from>
    <xdr:to>
      <xdr:col>4</xdr:col>
      <xdr:colOff>447966</xdr:colOff>
      <xdr:row>89</xdr:row>
      <xdr:rowOff>428625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100-000004000000}"/>
                </a:ext>
              </a:extLst>
            </xdr:cNvPr>
            <xdr:cNvSpPr txBox="1"/>
          </xdr:nvSpPr>
          <xdr:spPr>
            <a:xfrm>
              <a:off x="1317625" y="14614525"/>
              <a:ext cx="15941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𝑊</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e>
                          <m:sub>
                            <m:r>
                              <a:rPr lang="en-US" sz="1000" b="0" i="1">
                                <a:latin typeface="Cambria Math" panose="02040503050406030204" pitchFamily="18" charset="0"/>
                                <a:ea typeface="Cambria Math" panose="02040503050406030204" pitchFamily="18" charset="0"/>
                              </a:rPr>
                              <m:t>𝐸𝐸</m:t>
                            </m:r>
                          </m:sub>
                        </m:sSub>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𝑎</m:t>
                            </m:r>
                          </m:num>
                          <m:den>
                            <m:r>
                              <a:rPr lang="en-US" sz="1000" b="0" i="1">
                                <a:latin typeface="Cambria Math" panose="02040503050406030204" pitchFamily="18" charset="0"/>
                                <a:ea typeface="Cambria Math" panose="02040503050406030204" pitchFamily="18" charset="0"/>
                              </a:rPr>
                              <m:t>2</m:t>
                            </m:r>
                          </m:den>
                        </m:f>
                      </m:e>
                    </m:d>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3" name="TextBox 2">
              <a:extLst>
                <a:ext uri="{FF2B5EF4-FFF2-40B4-BE49-F238E27FC236}">
                  <a16:creationId xmlns:a16="http://schemas.microsoft.com/office/drawing/2014/main" id="{00000000-0008-0000-0100-000004000000}"/>
                </a:ext>
              </a:extLst>
            </xdr:cNvPr>
            <xdr:cNvSpPr txBox="1"/>
          </xdr:nvSpPr>
          <xdr:spPr>
            <a:xfrm>
              <a:off x="1317625" y="14614525"/>
              <a:ext cx="15941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ea typeface="Cambria Math" panose="02040503050406030204" pitchFamily="18" charset="0"/>
                </a:rPr>
                <a:t>𝑀_𝑊=〖𝜑_𝐸𝐸 𝐴〗_𝑆 𝑓_𝑦 (𝑑_𝑆−𝑎/2)=</a:t>
              </a:r>
              <a:endParaRPr lang="en-US" sz="1000"/>
            </a:p>
          </xdr:txBody>
        </xdr:sp>
      </mc:Fallback>
    </mc:AlternateContent>
    <xdr:clientData/>
  </xdr:twoCellAnchor>
  <xdr:twoCellAnchor editAs="oneCell">
    <xdr:from>
      <xdr:col>2</xdr:col>
      <xdr:colOff>582965</xdr:colOff>
      <xdr:row>110</xdr:row>
      <xdr:rowOff>57150</xdr:rowOff>
    </xdr:from>
    <xdr:to>
      <xdr:col>4</xdr:col>
      <xdr:colOff>349378</xdr:colOff>
      <xdr:row>110</xdr:row>
      <xdr:rowOff>438150</xdr:rowOff>
    </xdr:to>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100-000005000000}"/>
                </a:ext>
              </a:extLst>
            </xdr:cNvPr>
            <xdr:cNvSpPr txBox="1"/>
          </xdr:nvSpPr>
          <xdr:spPr>
            <a:xfrm>
              <a:off x="1814865" y="18808700"/>
              <a:ext cx="998313"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𝑎</m:t>
                    </m:r>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𝑆</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num>
                      <m:den>
                        <m:r>
                          <a:rPr lang="en-US" sz="1000" b="0" i="1">
                            <a:latin typeface="Cambria Math" panose="02040503050406030204" pitchFamily="18" charset="0"/>
                          </a:rPr>
                          <m:t>0.85</m:t>
                        </m:r>
                        <m:sSubSup>
                          <m:sSubSupPr>
                            <m:ctrlPr>
                              <a:rPr lang="en-US" sz="1000" b="0" i="1">
                                <a:latin typeface="Cambria Math" panose="02040503050406030204" pitchFamily="18" charset="0"/>
                              </a:rPr>
                            </m:ctrlPr>
                          </m:sSubSupPr>
                          <m:e>
                            <m:r>
                              <a:rPr lang="en-US" sz="1000" b="0" i="1">
                                <a:latin typeface="Cambria Math" panose="02040503050406030204" pitchFamily="18" charset="0"/>
                              </a:rPr>
                              <m:t>𝑓</m:t>
                            </m:r>
                          </m:e>
                          <m:sub>
                            <m:r>
                              <a:rPr lang="en-US" sz="1000" b="0" i="1">
                                <a:latin typeface="Cambria Math" panose="02040503050406030204" pitchFamily="18" charset="0"/>
                              </a:rPr>
                              <m:t>𝑐</m:t>
                            </m:r>
                          </m:sub>
                          <m:sup>
                            <m:r>
                              <a:rPr lang="en-US" sz="1000" b="0" i="1">
                                <a:latin typeface="Cambria Math" panose="02040503050406030204" pitchFamily="18" charset="0"/>
                              </a:rPr>
                              <m:t>′</m:t>
                            </m:r>
                          </m:sup>
                        </m:sSubSup>
                        <m:r>
                          <a:rPr lang="en-US" sz="1000" b="0" i="1">
                            <a:latin typeface="Cambria Math" panose="02040503050406030204" pitchFamily="18" charset="0"/>
                          </a:rPr>
                          <m:t>𝑏</m:t>
                        </m:r>
                      </m:den>
                    </m:f>
                    <m:r>
                      <a:rPr lang="en-US" sz="1000" b="0" i="1">
                        <a:latin typeface="Cambria Math" panose="02040503050406030204" pitchFamily="18" charset="0"/>
                      </a:rPr>
                      <m:t>=</m:t>
                    </m:r>
                  </m:oMath>
                </m:oMathPara>
              </a14:m>
              <a:endParaRPr lang="en-US" sz="1000">
                <a:latin typeface="Arial Narrow" panose="020B0606020202030204" pitchFamily="34" charset="0"/>
                <a:cs typeface="Arial" panose="020B0604020202020204" pitchFamily="34" charset="0"/>
              </a:endParaRPr>
            </a:p>
          </xdr:txBody>
        </xdr:sp>
      </mc:Choice>
      <mc:Fallback xmlns="">
        <xdr:sp macro="" textlink="">
          <xdr:nvSpPr>
            <xdr:cNvPr id="4" name="TextBox 3">
              <a:extLst>
                <a:ext uri="{FF2B5EF4-FFF2-40B4-BE49-F238E27FC236}">
                  <a16:creationId xmlns:a16="http://schemas.microsoft.com/office/drawing/2014/main" id="{00000000-0008-0000-0100-000005000000}"/>
                </a:ext>
              </a:extLst>
            </xdr:cNvPr>
            <xdr:cNvSpPr txBox="1"/>
          </xdr:nvSpPr>
          <xdr:spPr>
            <a:xfrm>
              <a:off x="1814865" y="18808700"/>
              <a:ext cx="998313"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𝑎=(𝐴_𝑆 𝑓_𝑦)/(0.85𝑓_𝑐^′ 𝑏)=</a:t>
              </a:r>
              <a:endParaRPr lang="en-US" sz="1000">
                <a:latin typeface="Arial Narrow" panose="020B0606020202030204" pitchFamily="34" charset="0"/>
                <a:cs typeface="Arial" panose="020B0604020202020204" pitchFamily="34" charset="0"/>
              </a:endParaRPr>
            </a:p>
          </xdr:txBody>
        </xdr:sp>
      </mc:Fallback>
    </mc:AlternateContent>
    <xdr:clientData/>
  </xdr:twoCellAnchor>
  <xdr:twoCellAnchor editAs="oneCell">
    <xdr:from>
      <xdr:col>2</xdr:col>
      <xdr:colOff>572029</xdr:colOff>
      <xdr:row>111</xdr:row>
      <xdr:rowOff>61560</xdr:rowOff>
    </xdr:from>
    <xdr:to>
      <xdr:col>5</xdr:col>
      <xdr:colOff>312500</xdr:colOff>
      <xdr:row>111</xdr:row>
      <xdr:rowOff>442560</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100-000006000000}"/>
                </a:ext>
              </a:extLst>
            </xdr:cNvPr>
            <xdr:cNvSpPr txBox="1"/>
          </xdr:nvSpPr>
          <xdr:spPr>
            <a:xfrm>
              <a:off x="1803929" y="19289360"/>
              <a:ext cx="158832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𝑐</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e>
                          <m:sub>
                            <m:r>
                              <a:rPr lang="en-US" sz="1000" b="0" i="1">
                                <a:latin typeface="Cambria Math" panose="02040503050406030204" pitchFamily="18" charset="0"/>
                                <a:ea typeface="Cambria Math" panose="02040503050406030204" pitchFamily="18" charset="0"/>
                              </a:rPr>
                              <m:t>𝐸𝐸</m:t>
                            </m:r>
                          </m:sub>
                        </m:sSub>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𝑎</m:t>
                            </m:r>
                          </m:num>
                          <m:den>
                            <m:r>
                              <a:rPr lang="en-US" sz="1000" b="0" i="1">
                                <a:latin typeface="Cambria Math" panose="02040503050406030204" pitchFamily="18" charset="0"/>
                                <a:ea typeface="Cambria Math" panose="02040503050406030204" pitchFamily="18" charset="0"/>
                              </a:rPr>
                              <m:t>2</m:t>
                            </m:r>
                          </m:den>
                        </m:f>
                      </m:e>
                    </m:d>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5" name="TextBox 4">
              <a:extLst>
                <a:ext uri="{FF2B5EF4-FFF2-40B4-BE49-F238E27FC236}">
                  <a16:creationId xmlns:a16="http://schemas.microsoft.com/office/drawing/2014/main" id="{00000000-0008-0000-0100-000006000000}"/>
                </a:ext>
              </a:extLst>
            </xdr:cNvPr>
            <xdr:cNvSpPr txBox="1"/>
          </xdr:nvSpPr>
          <xdr:spPr>
            <a:xfrm>
              <a:off x="1803929" y="19289360"/>
              <a:ext cx="158832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ea typeface="Cambria Math" panose="02040503050406030204" pitchFamily="18" charset="0"/>
                </a:rPr>
                <a:t>𝑀_𝑐=〖𝜑_𝐸𝐸 𝐴〗_𝑆 𝑓_𝑦 (𝑑_𝑆−𝑎/2)=</a:t>
              </a:r>
              <a:endParaRPr lang="en-US" sz="1000"/>
            </a:p>
          </xdr:txBody>
        </xdr:sp>
      </mc:Fallback>
    </mc:AlternateContent>
    <xdr:clientData/>
  </xdr:twoCellAnchor>
  <xdr:oneCellAnchor>
    <xdr:from>
      <xdr:col>2</xdr:col>
      <xdr:colOff>494242</xdr:colOff>
      <xdr:row>112</xdr:row>
      <xdr:rowOff>103893</xdr:rowOff>
    </xdr:from>
    <xdr:ext cx="2526195" cy="397566"/>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100-000008000000}"/>
                </a:ext>
              </a:extLst>
            </xdr:cNvPr>
            <xdr:cNvSpPr txBox="1"/>
          </xdr:nvSpPr>
          <xdr:spPr>
            <a:xfrm>
              <a:off x="1726142" y="19814293"/>
              <a:ext cx="2526195" cy="397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num>
                      <m:den>
                        <m:r>
                          <a:rPr lang="en-US" sz="1000" b="0" i="1">
                            <a:latin typeface="Cambria Math" panose="02040503050406030204" pitchFamily="18" charset="0"/>
                          </a:rPr>
                          <m:t>2</m:t>
                        </m:r>
                      </m:den>
                    </m:f>
                    <m:r>
                      <a:rPr lang="en-US" sz="1000" b="0" i="1">
                        <a:latin typeface="Cambria Math" panose="02040503050406030204" pitchFamily="18" charset="0"/>
                      </a:rPr>
                      <m:t>+</m:t>
                    </m:r>
                    <m:rad>
                      <m:radPr>
                        <m:degHide m:val="on"/>
                        <m:ctrlPr>
                          <a:rPr lang="en-US" sz="1000" b="0" i="1">
                            <a:latin typeface="Cambria Math" panose="02040503050406030204" pitchFamily="18" charset="0"/>
                          </a:rPr>
                        </m:ctrlPr>
                      </m:radPr>
                      <m:deg/>
                      <m:e>
                        <m:sSup>
                          <m:sSupPr>
                            <m:ctrlPr>
                              <a:rPr lang="en-US" sz="1000" b="0" i="1">
                                <a:latin typeface="Cambria Math" panose="02040503050406030204" pitchFamily="18" charset="0"/>
                              </a:rPr>
                            </m:ctrlPr>
                          </m:sSupPr>
                          <m:e>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num>
                                  <m:den>
                                    <m:r>
                                      <a:rPr lang="en-US" sz="1000" b="0" i="1">
                                        <a:latin typeface="Cambria Math" panose="02040503050406030204" pitchFamily="18" charset="0"/>
                                      </a:rPr>
                                      <m:t>2</m:t>
                                    </m:r>
                                  </m:den>
                                </m:f>
                              </m:e>
                            </m:d>
                          </m:e>
                          <m:sup>
                            <m:r>
                              <a:rPr lang="en-US" sz="1000" b="0" i="1">
                                <a:latin typeface="Cambria Math" panose="02040503050406030204" pitchFamily="18" charset="0"/>
                              </a:rPr>
                              <m:t>2</m:t>
                            </m:r>
                          </m:sup>
                        </m:sSup>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𝐻</m:t>
                                </m:r>
                              </m:e>
                              <m:sub>
                                <m:r>
                                  <a:rPr lang="en-US" sz="1000" b="0" i="1">
                                    <a:latin typeface="Cambria Math" panose="02040503050406030204" pitchFamily="18" charset="0"/>
                                  </a:rPr>
                                  <m:t>𝑊</m:t>
                                </m:r>
                              </m:sub>
                            </m:sSub>
                            <m:d>
                              <m:dPr>
                                <m:ctrlPr>
                                  <a:rPr lang="en-US" sz="1000" b="0" i="1">
                                    <a:latin typeface="Cambria Math" panose="02040503050406030204" pitchFamily="18" charset="0"/>
                                  </a:rPr>
                                </m:ctrlPr>
                              </m:dPr>
                              <m:e>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𝑏</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𝑊</m:t>
                                    </m:r>
                                  </m:sub>
                                </m:sSub>
                              </m:e>
                            </m:d>
                          </m:num>
                          <m:den>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𝐶</m:t>
                                </m:r>
                              </m:sub>
                            </m:sSub>
                          </m:den>
                        </m:f>
                        <m:r>
                          <a:rPr lang="en-US" sz="1000" b="0" i="1">
                            <a:latin typeface="Cambria Math" panose="02040503050406030204" pitchFamily="18" charset="0"/>
                          </a:rPr>
                          <m:t>=</m:t>
                        </m:r>
                      </m:e>
                    </m:rad>
                  </m:oMath>
                </m:oMathPara>
              </a14:m>
              <a:endParaRPr lang="en-US" sz="1000"/>
            </a:p>
          </xdr:txBody>
        </xdr:sp>
      </mc:Choice>
      <mc:Fallback xmlns="">
        <xdr:sp macro="" textlink="">
          <xdr:nvSpPr>
            <xdr:cNvPr id="6" name="TextBox 5">
              <a:extLst>
                <a:ext uri="{FF2B5EF4-FFF2-40B4-BE49-F238E27FC236}">
                  <a16:creationId xmlns:a16="http://schemas.microsoft.com/office/drawing/2014/main" id="{00000000-0008-0000-0100-000008000000}"/>
                </a:ext>
              </a:extLst>
            </xdr:cNvPr>
            <xdr:cNvSpPr txBox="1"/>
          </xdr:nvSpPr>
          <xdr:spPr>
            <a:xfrm>
              <a:off x="1726142" y="19814293"/>
              <a:ext cx="2526195" cy="397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𝐿_𝐶=𝐿_𝑡/2+√((𝐿_𝑡/2)^2+(8𝐻_𝑊 (𝑀_𝑏+𝑀_𝑊 ))/𝑀_𝐶 =)</a:t>
              </a:r>
              <a:endParaRPr lang="en-US" sz="1000"/>
            </a:p>
          </xdr:txBody>
        </xdr:sp>
      </mc:Fallback>
    </mc:AlternateContent>
    <xdr:clientData/>
  </xdr:oneCellAnchor>
  <xdr:oneCellAnchor>
    <xdr:from>
      <xdr:col>0</xdr:col>
      <xdr:colOff>504472</xdr:colOff>
      <xdr:row>116</xdr:row>
      <xdr:rowOff>18874</xdr:rowOff>
    </xdr:from>
    <xdr:ext cx="2526196" cy="596348"/>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100-000009000000}"/>
                </a:ext>
              </a:extLst>
            </xdr:cNvPr>
            <xdr:cNvSpPr txBox="1"/>
          </xdr:nvSpPr>
          <xdr:spPr>
            <a:xfrm>
              <a:off x="504472" y="20846874"/>
              <a:ext cx="2526196" cy="596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𝑅</m:t>
                        </m:r>
                      </m:e>
                      <m:sub>
                        <m:r>
                          <a:rPr lang="en-US" sz="1000" b="0" i="1">
                            <a:latin typeface="Cambria Math" panose="02040503050406030204" pitchFamily="18" charset="0"/>
                          </a:rPr>
                          <m:t>𝑊</m:t>
                        </m:r>
                      </m:sub>
                    </m:sSub>
                    <m:r>
                      <a:rPr lang="en-US" sz="1000" b="0" i="1">
                        <a:latin typeface="Cambria Math" panose="02040503050406030204" pitchFamily="18" charset="0"/>
                      </a:rPr>
                      <m:t>=</m:t>
                    </m:r>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r>
                              <a:rPr lang="en-US" sz="1000" b="0" i="1">
                                <a:latin typeface="Cambria Math" panose="02040503050406030204" pitchFamily="18" charset="0"/>
                              </a:rPr>
                              <m:t>2</m:t>
                            </m:r>
                          </m:num>
                          <m:den>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den>
                        </m:f>
                      </m:e>
                    </m:d>
                    <m:d>
                      <m:dPr>
                        <m:ctrlPr>
                          <a:rPr lang="en-US" sz="1000" b="0" i="1">
                            <a:latin typeface="Cambria Math" panose="02040503050406030204" pitchFamily="18" charset="0"/>
                          </a:rPr>
                        </m:ctrlPr>
                      </m:dPr>
                      <m:e>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𝑏</m:t>
                            </m:r>
                          </m:sub>
                        </m:sSub>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𝑊</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𝐶</m:t>
                                </m:r>
                              </m:sub>
                            </m:sSub>
                            <m:sSubSup>
                              <m:sSubSupPr>
                                <m:ctrlPr>
                                  <a:rPr lang="en-US" sz="1000" b="0" i="1">
                                    <a:latin typeface="Cambria Math" panose="02040503050406030204" pitchFamily="18" charset="0"/>
                                  </a:rPr>
                                </m:ctrlPr>
                              </m:sSubSupPr>
                              <m:e>
                                <m:r>
                                  <a:rPr lang="en-US" sz="1000" b="0" i="1">
                                    <a:latin typeface="Cambria Math" panose="02040503050406030204" pitchFamily="18" charset="0"/>
                                  </a:rPr>
                                  <m:t>𝐿</m:t>
                                </m:r>
                              </m:e>
                              <m:sub>
                                <m:r>
                                  <a:rPr lang="en-US" sz="1000" b="0" i="1">
                                    <a:latin typeface="Cambria Math" panose="02040503050406030204" pitchFamily="18" charset="0"/>
                                  </a:rPr>
                                  <m:t>𝐶</m:t>
                                </m:r>
                              </m:sub>
                              <m:sup>
                                <m:r>
                                  <a:rPr lang="en-US" sz="1000" b="0" i="1">
                                    <a:latin typeface="Cambria Math" panose="02040503050406030204" pitchFamily="18" charset="0"/>
                                  </a:rPr>
                                  <m:t>2</m:t>
                                </m:r>
                              </m:sup>
                            </m:sSubSup>
                          </m:num>
                          <m:den>
                            <m:sSub>
                              <m:sSubPr>
                                <m:ctrlPr>
                                  <a:rPr lang="en-US" sz="1000" b="0" i="1">
                                    <a:latin typeface="Cambria Math" panose="02040503050406030204" pitchFamily="18" charset="0"/>
                                  </a:rPr>
                                </m:ctrlPr>
                              </m:sSubPr>
                              <m:e>
                                <m:r>
                                  <a:rPr lang="en-US" sz="1000" b="0" i="1">
                                    <a:latin typeface="Cambria Math" panose="02040503050406030204" pitchFamily="18" charset="0"/>
                                  </a:rPr>
                                  <m:t>𝐻</m:t>
                                </m:r>
                              </m:e>
                              <m:sub>
                                <m:r>
                                  <a:rPr lang="en-US" sz="1000" b="0" i="1">
                                    <a:latin typeface="Cambria Math" panose="02040503050406030204" pitchFamily="18" charset="0"/>
                                  </a:rPr>
                                  <m:t>𝑊</m:t>
                                </m:r>
                              </m:sub>
                            </m:sSub>
                          </m:den>
                        </m:f>
                      </m:e>
                    </m:d>
                    <m:r>
                      <a:rPr lang="en-US" sz="1000" b="0" i="1">
                        <a:latin typeface="Cambria Math" panose="02040503050406030204" pitchFamily="18" charset="0"/>
                      </a:rPr>
                      <m:t>=</m:t>
                    </m:r>
                  </m:oMath>
                </m:oMathPara>
              </a14:m>
              <a:endParaRPr lang="en-US" sz="1100"/>
            </a:p>
          </xdr:txBody>
        </xdr:sp>
      </mc:Choice>
      <mc:Fallback xmlns="">
        <xdr:sp macro="" textlink="">
          <xdr:nvSpPr>
            <xdr:cNvPr id="7" name="TextBox 6">
              <a:extLst>
                <a:ext uri="{FF2B5EF4-FFF2-40B4-BE49-F238E27FC236}">
                  <a16:creationId xmlns:a16="http://schemas.microsoft.com/office/drawing/2014/main" id="{00000000-0008-0000-0100-000009000000}"/>
                </a:ext>
              </a:extLst>
            </xdr:cNvPr>
            <xdr:cNvSpPr txBox="1"/>
          </xdr:nvSpPr>
          <xdr:spPr>
            <a:xfrm>
              <a:off x="504472" y="20846874"/>
              <a:ext cx="2526196" cy="596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𝑅_𝑊=(2/(2𝐿_𝐶−𝐿_𝑡 ))(8𝑀_𝑏+8𝑀_𝑊+(𝑀_𝐶 𝐿_𝐶^2)/𝐻_𝑊 )=</a:t>
              </a:r>
              <a:endParaRPr lang="en-US" sz="1100"/>
            </a:p>
          </xdr:txBody>
        </xdr:sp>
      </mc:Fallback>
    </mc:AlternateContent>
    <xdr:clientData/>
  </xdr:oneCellAnchor>
  <xdr:oneCellAnchor>
    <xdr:from>
      <xdr:col>0</xdr:col>
      <xdr:colOff>133350</xdr:colOff>
      <xdr:row>196</xdr:row>
      <xdr:rowOff>114300</xdr:rowOff>
    </xdr:from>
    <xdr:ext cx="2063898" cy="355225"/>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3000000}"/>
                </a:ext>
              </a:extLst>
            </xdr:cNvPr>
            <xdr:cNvSpPr txBox="1"/>
          </xdr:nvSpPr>
          <xdr:spPr>
            <a:xfrm>
              <a:off x="133350" y="33940750"/>
              <a:ext cx="2063898" cy="355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𝑅</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16</m:t>
                        </m:r>
                        <m:sSub>
                          <m:sSubPr>
                            <m:ctrlPr>
                              <a:rPr lang="en-US" sz="1100" b="0" i="1">
                                <a:latin typeface="Cambria Math" panose="02040503050406030204" pitchFamily="18" charset="0"/>
                              </a:rPr>
                            </m:ctrlPr>
                          </m:sSubPr>
                          <m:e>
                            <m:r>
                              <a:rPr lang="en-US" sz="1100" b="0" i="1">
                                <a:latin typeface="Cambria Math" panose="02040503050406030204" pitchFamily="18" charset="0"/>
                              </a:rPr>
                              <m:t>𝑀</m:t>
                            </m:r>
                          </m:e>
                          <m:sub>
                            <m:r>
                              <a:rPr lang="en-US" sz="1100" b="0" i="1">
                                <a:latin typeface="Cambria Math" panose="02040503050406030204" pitchFamily="18" charset="0"/>
                              </a:rPr>
                              <m:t>𝑝</m:t>
                            </m:r>
                          </m:sub>
                        </m:sSub>
                        <m:r>
                          <a:rPr lang="en-US" sz="1100" b="0" i="1">
                            <a:latin typeface="Cambria Math" panose="02040503050406030204" pitchFamily="18" charset="0"/>
                          </a:rPr>
                          <m:t>+(</m:t>
                        </m:r>
                        <m:r>
                          <a:rPr lang="en-US" sz="1100" b="0" i="1">
                            <a:latin typeface="Cambria Math" panose="02040503050406030204" pitchFamily="18" charset="0"/>
                          </a:rPr>
                          <m:t>𝑁</m:t>
                        </m:r>
                        <m:r>
                          <a:rPr lang="en-US" sz="1100" b="0" i="1">
                            <a:latin typeface="Cambria Math" panose="02040503050406030204" pitchFamily="18" charset="0"/>
                          </a:rPr>
                          <m:t>−1)(</m:t>
                        </m:r>
                        <m:r>
                          <a:rPr lang="en-US" sz="1100" b="0" i="1">
                            <a:latin typeface="Cambria Math" panose="02040503050406030204" pitchFamily="18" charset="0"/>
                          </a:rPr>
                          <m:t>𝑁</m:t>
                        </m:r>
                        <m:r>
                          <a:rPr lang="en-US" sz="1100" b="0" i="1">
                            <a:latin typeface="Cambria Math" panose="02040503050406030204" pitchFamily="18" charset="0"/>
                          </a:rPr>
                          <m:t>+1)</m:t>
                        </m:r>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𝑝</m:t>
                            </m:r>
                          </m:sub>
                        </m:sSub>
                        <m:r>
                          <a:rPr lang="en-US" sz="1100" b="0" i="1">
                            <a:latin typeface="Cambria Math" panose="02040503050406030204" pitchFamily="18" charset="0"/>
                          </a:rPr>
                          <m:t>𝐿</m:t>
                        </m:r>
                      </m:num>
                      <m:den>
                        <m:r>
                          <a:rPr lang="en-US" sz="1100" b="0" i="1">
                            <a:latin typeface="Cambria Math" panose="02040503050406030204" pitchFamily="18" charset="0"/>
                          </a:rPr>
                          <m:t>2</m:t>
                        </m:r>
                        <m:r>
                          <a:rPr lang="en-US" sz="1100" b="0" i="1">
                            <a:latin typeface="Cambria Math" panose="02040503050406030204" pitchFamily="18" charset="0"/>
                          </a:rPr>
                          <m:t>𝑁𝐿</m:t>
                        </m:r>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𝐿</m:t>
                            </m:r>
                          </m:e>
                          <m:sub>
                            <m:r>
                              <a:rPr lang="en-US" sz="1100" b="0" i="1">
                                <a:latin typeface="Cambria Math" panose="02040503050406030204" pitchFamily="18" charset="0"/>
                              </a:rPr>
                              <m:t>𝑡</m:t>
                            </m:r>
                          </m:sub>
                        </m:sSub>
                      </m:den>
                    </m:f>
                  </m:oMath>
                </m:oMathPara>
              </a14:m>
              <a:endParaRPr lang="en-US" sz="1100"/>
            </a:p>
          </xdr:txBody>
        </xdr:sp>
      </mc:Choice>
      <mc:Fallback xmlns="">
        <xdr:sp macro="" textlink="">
          <xdr:nvSpPr>
            <xdr:cNvPr id="8" name="TextBox 7">
              <a:extLst>
                <a:ext uri="{FF2B5EF4-FFF2-40B4-BE49-F238E27FC236}">
                  <a16:creationId xmlns:a16="http://schemas.microsoft.com/office/drawing/2014/main" id="{00000000-0008-0000-0100-000003000000}"/>
                </a:ext>
              </a:extLst>
            </xdr:cNvPr>
            <xdr:cNvSpPr txBox="1"/>
          </xdr:nvSpPr>
          <xdr:spPr>
            <a:xfrm>
              <a:off x="133350" y="33940750"/>
              <a:ext cx="2063898" cy="355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𝑅_𝑅=(16𝑀_𝑝+(𝑁−1)(𝑁+1)𝑃_𝑝 𝐿)/(2𝑁𝐿−𝐿_𝑡 )</a:t>
              </a:r>
              <a:endParaRPr lang="en-US" sz="1100"/>
            </a:p>
          </xdr:txBody>
        </xdr:sp>
      </mc:Fallback>
    </mc:AlternateContent>
    <xdr:clientData/>
  </xdr:oneCellAnchor>
  <xdr:oneCellAnchor>
    <xdr:from>
      <xdr:col>0</xdr:col>
      <xdr:colOff>157515</xdr:colOff>
      <xdr:row>199</xdr:row>
      <xdr:rowOff>182916</xdr:rowOff>
    </xdr:from>
    <xdr:ext cx="832216" cy="175113"/>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7000000}"/>
                </a:ext>
              </a:extLst>
            </xdr:cNvPr>
            <xdr:cNvSpPr txBox="1"/>
          </xdr:nvSpPr>
          <xdr:spPr>
            <a:xfrm>
              <a:off x="157515" y="34434816"/>
              <a:ext cx="832216"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𝑅</m:t>
                        </m:r>
                      </m:e>
                    </m:acc>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𝑅</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𝑤</m:t>
                        </m:r>
                      </m:sub>
                    </m:sSub>
                  </m:oMath>
                </m:oMathPara>
              </a14:m>
              <a:endParaRPr lang="en-US" sz="1100"/>
            </a:p>
          </xdr:txBody>
        </xdr:sp>
      </mc:Choice>
      <mc:Fallback xmlns="">
        <xdr:sp macro="" textlink="">
          <xdr:nvSpPr>
            <xdr:cNvPr id="9" name="TextBox 8">
              <a:extLst>
                <a:ext uri="{FF2B5EF4-FFF2-40B4-BE49-F238E27FC236}">
                  <a16:creationId xmlns:a16="http://schemas.microsoft.com/office/drawing/2014/main" id="{00000000-0008-0000-0100-000007000000}"/>
                </a:ext>
              </a:extLst>
            </xdr:cNvPr>
            <xdr:cNvSpPr txBox="1"/>
          </xdr:nvSpPr>
          <xdr:spPr>
            <a:xfrm>
              <a:off x="157515" y="34434816"/>
              <a:ext cx="832216"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𝑅 ̅=𝑅_𝑅+𝑅_𝑤</a:t>
              </a:r>
              <a:endParaRPr lang="en-US" sz="1100"/>
            </a:p>
          </xdr:txBody>
        </xdr:sp>
      </mc:Fallback>
    </mc:AlternateContent>
    <xdr:clientData/>
  </xdr:oneCellAnchor>
  <xdr:oneCellAnchor>
    <xdr:from>
      <xdr:col>0</xdr:col>
      <xdr:colOff>133350</xdr:colOff>
      <xdr:row>206</xdr:row>
      <xdr:rowOff>66675</xdr:rowOff>
    </xdr:from>
    <xdr:ext cx="1190774" cy="320216"/>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D000000}"/>
                </a:ext>
              </a:extLst>
            </xdr:cNvPr>
            <xdr:cNvSpPr txBox="1"/>
          </xdr:nvSpPr>
          <xdr:spPr>
            <a:xfrm>
              <a:off x="133350" y="35442525"/>
              <a:ext cx="1190774" cy="320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𝑌</m:t>
                        </m:r>
                      </m:e>
                    </m:acc>
                    <m:r>
                      <a:rPr lang="en-US" sz="1100" b="0" i="1">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𝑅</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𝑅</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𝑤</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𝑤</m:t>
                            </m:r>
                          </m:sub>
                        </m:sSub>
                      </m:num>
                      <m:den>
                        <m:acc>
                          <m:accPr>
                            <m:chr m:val="̅"/>
                            <m:ctrlPr>
                              <a:rPr lang="en-US" sz="1100" b="0" i="1">
                                <a:latin typeface="Cambria Math" panose="02040503050406030204" pitchFamily="18" charset="0"/>
                              </a:rPr>
                            </m:ctrlPr>
                          </m:accPr>
                          <m:e>
                            <m:r>
                              <a:rPr lang="en-US" sz="1100" b="0" i="1">
                                <a:latin typeface="Cambria Math" panose="02040503050406030204" pitchFamily="18" charset="0"/>
                              </a:rPr>
                              <m:t>𝑅</m:t>
                            </m:r>
                          </m:e>
                        </m:acc>
                      </m:den>
                    </m:f>
                  </m:oMath>
                </m:oMathPara>
              </a14:m>
              <a:endParaRPr lang="en-US" sz="1100"/>
            </a:p>
          </xdr:txBody>
        </xdr:sp>
      </mc:Choice>
      <mc:Fallback xmlns="">
        <xdr:sp macro="" textlink="">
          <xdr:nvSpPr>
            <xdr:cNvPr id="10" name="TextBox 9">
              <a:extLst>
                <a:ext uri="{FF2B5EF4-FFF2-40B4-BE49-F238E27FC236}">
                  <a16:creationId xmlns:a16="http://schemas.microsoft.com/office/drawing/2014/main" id="{00000000-0008-0000-0100-00000D000000}"/>
                </a:ext>
              </a:extLst>
            </xdr:cNvPr>
            <xdr:cNvSpPr txBox="1"/>
          </xdr:nvSpPr>
          <xdr:spPr>
            <a:xfrm>
              <a:off x="133350" y="35442525"/>
              <a:ext cx="1190774" cy="320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𝑌 ̅=(𝑅_𝑅 𝐻_𝑅+𝑅_𝑤 𝐻_𝑤)/𝑅 ̅ </a:t>
              </a:r>
              <a:endParaRPr lang="en-US" sz="1100"/>
            </a:p>
          </xdr:txBody>
        </xdr:sp>
      </mc:Fallback>
    </mc:AlternateContent>
    <xdr:clientData/>
  </xdr:oneCellAnchor>
  <xdr:twoCellAnchor editAs="oneCell">
    <xdr:from>
      <xdr:col>5</xdr:col>
      <xdr:colOff>541440</xdr:colOff>
      <xdr:row>118</xdr:row>
      <xdr:rowOff>22048</xdr:rowOff>
    </xdr:from>
    <xdr:to>
      <xdr:col>9</xdr:col>
      <xdr:colOff>551214</xdr:colOff>
      <xdr:row>131</xdr:row>
      <xdr:rowOff>8291</xdr:rowOff>
    </xdr:to>
    <xdr:pic>
      <xdr:nvPicPr>
        <xdr:cNvPr id="11" name="Picture 10">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3621190" y="21345348"/>
          <a:ext cx="2492624" cy="2056343"/>
        </a:xfrm>
        <a:prstGeom prst="rect">
          <a:avLst/>
        </a:prstGeom>
      </xdr:spPr>
    </xdr:pic>
    <xdr:clientData/>
  </xdr:twoCellAnchor>
  <xdr:oneCellAnchor>
    <xdr:from>
      <xdr:col>0</xdr:col>
      <xdr:colOff>200025</xdr:colOff>
      <xdr:row>220</xdr:row>
      <xdr:rowOff>47625</xdr:rowOff>
    </xdr:from>
    <xdr:ext cx="1312795" cy="372538"/>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100-000011000000}"/>
                </a:ext>
              </a:extLst>
            </xdr:cNvPr>
            <xdr:cNvSpPr txBox="1"/>
          </xdr:nvSpPr>
          <xdr:spPr>
            <a:xfrm>
              <a:off x="200025" y="37544375"/>
              <a:ext cx="1312795" cy="372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𝑅</m:t>
                        </m:r>
                        <m:r>
                          <a:rPr lang="en-US" sz="1100" b="0" i="1">
                            <a:latin typeface="Cambria Math" panose="02040503050406030204" pitchFamily="18" charset="0"/>
                          </a:rPr>
                          <m:t>′</m:t>
                        </m:r>
                      </m:e>
                      <m:sub>
                        <m:r>
                          <a:rPr lang="en-US" sz="1100" b="0" i="1">
                            <a:latin typeface="Cambria Math" panose="02040503050406030204" pitchFamily="18" charset="0"/>
                          </a:rPr>
                          <m:t>𝑅</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16</m:t>
                        </m:r>
                        <m:sSub>
                          <m:sSubPr>
                            <m:ctrlPr>
                              <a:rPr lang="en-US" sz="1100" b="0" i="1">
                                <a:latin typeface="Cambria Math" panose="02040503050406030204" pitchFamily="18" charset="0"/>
                              </a:rPr>
                            </m:ctrlPr>
                          </m:sSubPr>
                          <m:e>
                            <m:r>
                              <a:rPr lang="en-US" sz="1100" b="0" i="1">
                                <a:latin typeface="Cambria Math" panose="02040503050406030204" pitchFamily="18" charset="0"/>
                              </a:rPr>
                              <m:t>𝑀</m:t>
                            </m:r>
                          </m:e>
                          <m:sub>
                            <m:r>
                              <a:rPr lang="en-US" sz="1100" b="0" i="1">
                                <a:latin typeface="Cambria Math" panose="02040503050406030204" pitchFamily="18" charset="0"/>
                              </a:rPr>
                              <m:t>𝑝</m:t>
                            </m:r>
                          </m:sub>
                        </m:sSub>
                        <m:r>
                          <a:rPr lang="en-US" sz="1100" b="0" i="1">
                            <a:latin typeface="Cambria Math" panose="02040503050406030204" pitchFamily="18" charset="0"/>
                          </a:rPr>
                          <m:t>+</m:t>
                        </m:r>
                        <m:sSup>
                          <m:sSupPr>
                            <m:ctrlPr>
                              <a:rPr lang="en-US" sz="1100" b="0" i="1">
                                <a:latin typeface="Cambria Math" panose="02040503050406030204" pitchFamily="18" charset="0"/>
                              </a:rPr>
                            </m:ctrlPr>
                          </m:sSupPr>
                          <m:e>
                            <m:r>
                              <a:rPr lang="en-US" sz="1100" b="0" i="1">
                                <a:latin typeface="Cambria Math" panose="02040503050406030204" pitchFamily="18" charset="0"/>
                              </a:rPr>
                              <m:t>𝑁</m:t>
                            </m:r>
                          </m:e>
                          <m:sup>
                            <m:r>
                              <a:rPr lang="en-US" sz="1100" b="0" i="1">
                                <a:latin typeface="Cambria Math" panose="02040503050406030204" pitchFamily="18" charset="0"/>
                              </a:rPr>
                              <m:t>2</m:t>
                            </m:r>
                          </m:sup>
                        </m:sSup>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𝑝</m:t>
                            </m:r>
                          </m:sub>
                        </m:sSub>
                        <m:r>
                          <a:rPr lang="en-US" sz="1100" b="0" i="1">
                            <a:latin typeface="Cambria Math" panose="02040503050406030204" pitchFamily="18" charset="0"/>
                          </a:rPr>
                          <m:t>𝐿</m:t>
                        </m:r>
                      </m:num>
                      <m:den>
                        <m:r>
                          <a:rPr lang="en-US" sz="1100" b="0" i="1">
                            <a:latin typeface="Cambria Math" panose="02040503050406030204" pitchFamily="18" charset="0"/>
                          </a:rPr>
                          <m:t>2</m:t>
                        </m:r>
                        <m:r>
                          <a:rPr lang="en-US" sz="1100" b="0" i="1">
                            <a:latin typeface="Cambria Math" panose="02040503050406030204" pitchFamily="18" charset="0"/>
                          </a:rPr>
                          <m:t>𝑁𝐿</m:t>
                        </m:r>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𝐿</m:t>
                            </m:r>
                          </m:e>
                          <m:sub>
                            <m:r>
                              <a:rPr lang="en-US" sz="1100" b="0" i="1">
                                <a:latin typeface="Cambria Math" panose="02040503050406030204" pitchFamily="18" charset="0"/>
                              </a:rPr>
                              <m:t>𝑡</m:t>
                            </m:r>
                          </m:sub>
                        </m:sSub>
                      </m:den>
                    </m:f>
                  </m:oMath>
                </m:oMathPara>
              </a14:m>
              <a:endParaRPr lang="en-US" sz="1100"/>
            </a:p>
          </xdr:txBody>
        </xdr:sp>
      </mc:Choice>
      <mc:Fallback xmlns="">
        <xdr:sp macro="" textlink="">
          <xdr:nvSpPr>
            <xdr:cNvPr id="12" name="TextBox 11">
              <a:extLst>
                <a:ext uri="{FF2B5EF4-FFF2-40B4-BE49-F238E27FC236}">
                  <a16:creationId xmlns:a16="http://schemas.microsoft.com/office/drawing/2014/main" id="{00000000-0008-0000-0100-000011000000}"/>
                </a:ext>
              </a:extLst>
            </xdr:cNvPr>
            <xdr:cNvSpPr txBox="1"/>
          </xdr:nvSpPr>
          <xdr:spPr>
            <a:xfrm>
              <a:off x="200025" y="37544375"/>
              <a:ext cx="1312795" cy="372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〖𝑅′〗_𝑅=(16𝑀_𝑝+𝑁^2 𝑃_𝑝 𝐿)/(2𝑁𝐿−𝐿_𝑡 )</a:t>
              </a:r>
              <a:endParaRPr lang="en-US" sz="1100"/>
            </a:p>
          </xdr:txBody>
        </xdr:sp>
      </mc:Fallback>
    </mc:AlternateContent>
    <xdr:clientData/>
  </xdr:oneCellAnchor>
  <xdr:oneCellAnchor>
    <xdr:from>
      <xdr:col>0</xdr:col>
      <xdr:colOff>314325</xdr:colOff>
      <xdr:row>229</xdr:row>
      <xdr:rowOff>19050</xdr:rowOff>
    </xdr:from>
    <xdr:ext cx="1199687" cy="18550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100-000012000000}"/>
                </a:ext>
              </a:extLst>
            </xdr:cNvPr>
            <xdr:cNvSpPr txBox="1"/>
          </xdr:nvSpPr>
          <xdr:spPr>
            <a:xfrm>
              <a:off x="314325" y="38881050"/>
              <a:ext cx="1199687" cy="18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𝑅</m:t>
                        </m:r>
                      </m:e>
                    </m:acc>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𝑝</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r>
                          <a:rPr lang="en-US" sz="1100" b="0" i="1">
                            <a:latin typeface="Cambria Math" panose="02040503050406030204" pitchFamily="18" charset="0"/>
                          </a:rPr>
                          <m:t>′</m:t>
                        </m:r>
                      </m:e>
                      <m:sub>
                        <m:r>
                          <a:rPr lang="en-US" sz="1100" b="0" i="1">
                            <a:latin typeface="Cambria Math" panose="02040503050406030204" pitchFamily="18" charset="0"/>
                          </a:rPr>
                          <m:t>𝑅</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r>
                          <a:rPr lang="en-US" sz="1100" b="0" i="1">
                            <a:latin typeface="Cambria Math" panose="02040503050406030204" pitchFamily="18" charset="0"/>
                          </a:rPr>
                          <m:t>′</m:t>
                        </m:r>
                      </m:e>
                      <m:sub>
                        <m:r>
                          <a:rPr lang="en-US" sz="1100" b="0" i="1">
                            <a:latin typeface="Cambria Math" panose="02040503050406030204" pitchFamily="18" charset="0"/>
                          </a:rPr>
                          <m:t>𝑤</m:t>
                        </m:r>
                      </m:sub>
                    </m:sSub>
                  </m:oMath>
                </m:oMathPara>
              </a14:m>
              <a:endParaRPr lang="en-US" sz="1100"/>
            </a:p>
          </xdr:txBody>
        </xdr:sp>
      </mc:Choice>
      <mc:Fallback xmlns="">
        <xdr:sp macro="" textlink="">
          <xdr:nvSpPr>
            <xdr:cNvPr id="13" name="TextBox 12">
              <a:extLst>
                <a:ext uri="{FF2B5EF4-FFF2-40B4-BE49-F238E27FC236}">
                  <a16:creationId xmlns:a16="http://schemas.microsoft.com/office/drawing/2014/main" id="{00000000-0008-0000-0100-000012000000}"/>
                </a:ext>
              </a:extLst>
            </xdr:cNvPr>
            <xdr:cNvSpPr txBox="1"/>
          </xdr:nvSpPr>
          <xdr:spPr>
            <a:xfrm>
              <a:off x="314325" y="38881050"/>
              <a:ext cx="1199687" cy="18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𝑅 ̅=𝑃_𝑝+〖𝑅′〗_𝑅+〖𝑅′〗_𝑤</a:t>
              </a:r>
              <a:endParaRPr lang="en-US" sz="1100"/>
            </a:p>
          </xdr:txBody>
        </xdr:sp>
      </mc:Fallback>
    </mc:AlternateContent>
    <xdr:clientData/>
  </xdr:oneCellAnchor>
  <xdr:oneCellAnchor>
    <xdr:from>
      <xdr:col>0</xdr:col>
      <xdr:colOff>66675</xdr:colOff>
      <xdr:row>233</xdr:row>
      <xdr:rowOff>9525</xdr:rowOff>
    </xdr:from>
    <xdr:ext cx="1755609" cy="338426"/>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100-000013000000}"/>
                </a:ext>
              </a:extLst>
            </xdr:cNvPr>
            <xdr:cNvSpPr txBox="1"/>
          </xdr:nvSpPr>
          <xdr:spPr>
            <a:xfrm>
              <a:off x="66675" y="39481125"/>
              <a:ext cx="1755609" cy="338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𝑌</m:t>
                        </m:r>
                      </m:e>
                    </m:acc>
                    <m:r>
                      <a:rPr lang="en-US" sz="1100" b="0" i="1">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𝑝</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𝑅</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r>
                              <a:rPr lang="en-US" sz="1100" b="0" i="1">
                                <a:latin typeface="Cambria Math" panose="02040503050406030204" pitchFamily="18" charset="0"/>
                              </a:rPr>
                              <m:t>′</m:t>
                            </m:r>
                          </m:e>
                          <m:sub>
                            <m:r>
                              <a:rPr lang="en-US" sz="1100" b="0" i="1">
                                <a:latin typeface="Cambria Math" panose="02040503050406030204" pitchFamily="18" charset="0"/>
                              </a:rPr>
                              <m:t>𝑅</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𝑅</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m:t>
                            </m:r>
                            <m:r>
                              <a:rPr lang="en-US" sz="1100" b="0" i="1">
                                <a:latin typeface="Cambria Math" panose="02040503050406030204" pitchFamily="18" charset="0"/>
                              </a:rPr>
                              <m:t>′</m:t>
                            </m:r>
                          </m:e>
                          <m:sub>
                            <m:r>
                              <a:rPr lang="en-US" sz="1100" b="0" i="1">
                                <a:latin typeface="Cambria Math" panose="02040503050406030204" pitchFamily="18" charset="0"/>
                              </a:rPr>
                              <m:t>𝑤</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𝑤</m:t>
                            </m:r>
                          </m:sub>
                        </m:sSub>
                      </m:num>
                      <m:den>
                        <m:acc>
                          <m:accPr>
                            <m:chr m:val="̅"/>
                            <m:ctrlPr>
                              <a:rPr lang="en-US" sz="1100" b="0" i="1">
                                <a:latin typeface="Cambria Math" panose="02040503050406030204" pitchFamily="18" charset="0"/>
                              </a:rPr>
                            </m:ctrlPr>
                          </m:accPr>
                          <m:e>
                            <m:r>
                              <a:rPr lang="en-US" sz="1100" b="0" i="1">
                                <a:latin typeface="Cambria Math" panose="02040503050406030204" pitchFamily="18" charset="0"/>
                              </a:rPr>
                              <m:t>𝑅</m:t>
                            </m:r>
                          </m:e>
                        </m:acc>
                      </m:den>
                    </m:f>
                  </m:oMath>
                </m:oMathPara>
              </a14:m>
              <a:endParaRPr lang="en-US" sz="1100"/>
            </a:p>
          </xdr:txBody>
        </xdr:sp>
      </mc:Choice>
      <mc:Fallback xmlns="">
        <xdr:sp macro="" textlink="">
          <xdr:nvSpPr>
            <xdr:cNvPr id="14" name="TextBox 13">
              <a:extLst>
                <a:ext uri="{FF2B5EF4-FFF2-40B4-BE49-F238E27FC236}">
                  <a16:creationId xmlns:a16="http://schemas.microsoft.com/office/drawing/2014/main" id="{00000000-0008-0000-0100-000013000000}"/>
                </a:ext>
              </a:extLst>
            </xdr:cNvPr>
            <xdr:cNvSpPr txBox="1"/>
          </xdr:nvSpPr>
          <xdr:spPr>
            <a:xfrm>
              <a:off x="66675" y="39481125"/>
              <a:ext cx="1755609" cy="338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𝑌 ̅=(𝑃_𝑝 𝐻_𝑅+〖𝑅′〗_𝑅 𝐻_𝑅+〖𝑅′〗_𝑤 𝐻_𝑤)/𝑅 ̅ </a:t>
              </a:r>
              <a:endParaRPr lang="en-US" sz="1100"/>
            </a:p>
          </xdr:txBody>
        </xdr:sp>
      </mc:Fallback>
    </mc:AlternateContent>
    <xdr:clientData/>
  </xdr:oneCellAnchor>
  <xdr:oneCellAnchor>
    <xdr:from>
      <xdr:col>0</xdr:col>
      <xdr:colOff>228600</xdr:colOff>
      <xdr:row>226</xdr:row>
      <xdr:rowOff>28575</xdr:rowOff>
    </xdr:from>
    <xdr:ext cx="1273041" cy="349648"/>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100-000014000000}"/>
                </a:ext>
              </a:extLst>
            </xdr:cNvPr>
            <xdr:cNvSpPr txBox="1"/>
          </xdr:nvSpPr>
          <xdr:spPr>
            <a:xfrm>
              <a:off x="228600" y="38427025"/>
              <a:ext cx="1273041"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𝑅</m:t>
                        </m:r>
                        <m:r>
                          <a:rPr lang="en-US" sz="1100" b="0" i="1">
                            <a:latin typeface="Cambria Math" panose="02040503050406030204" pitchFamily="18" charset="0"/>
                          </a:rPr>
                          <m:t>′</m:t>
                        </m:r>
                      </m:e>
                      <m:sub>
                        <m:r>
                          <a:rPr lang="en-US" sz="1100" b="0" i="1">
                            <a:latin typeface="Cambria Math" panose="02040503050406030204" pitchFamily="18" charset="0"/>
                          </a:rPr>
                          <m:t>𝑤</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𝑤</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𝑤</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𝑝</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𝑅</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𝐻</m:t>
                            </m:r>
                          </m:e>
                          <m:sub>
                            <m:r>
                              <a:rPr lang="en-US" sz="1100" b="0" i="1">
                                <a:latin typeface="Cambria Math" panose="02040503050406030204" pitchFamily="18" charset="0"/>
                              </a:rPr>
                              <m:t>𝑤</m:t>
                            </m:r>
                          </m:sub>
                        </m:sSub>
                      </m:den>
                    </m:f>
                  </m:oMath>
                </m:oMathPara>
              </a14:m>
              <a:endParaRPr lang="en-US" sz="1100"/>
            </a:p>
          </xdr:txBody>
        </xdr:sp>
      </mc:Choice>
      <mc:Fallback xmlns="">
        <xdr:sp macro="" textlink="">
          <xdr:nvSpPr>
            <xdr:cNvPr id="15" name="TextBox 14">
              <a:extLst>
                <a:ext uri="{FF2B5EF4-FFF2-40B4-BE49-F238E27FC236}">
                  <a16:creationId xmlns:a16="http://schemas.microsoft.com/office/drawing/2014/main" id="{00000000-0008-0000-0100-000014000000}"/>
                </a:ext>
              </a:extLst>
            </xdr:cNvPr>
            <xdr:cNvSpPr txBox="1"/>
          </xdr:nvSpPr>
          <xdr:spPr>
            <a:xfrm>
              <a:off x="228600" y="38427025"/>
              <a:ext cx="1273041"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〖𝑅′〗_𝑤=(𝑅_𝑤 𝐻_𝑤−𝑃_𝑝 𝐻_𝑅)/𝐻_𝑤 </a:t>
              </a:r>
              <a:endParaRPr lang="en-US" sz="1100"/>
            </a:p>
          </xdr:txBody>
        </xdr:sp>
      </mc:Fallback>
    </mc:AlternateContent>
    <xdr:clientData/>
  </xdr:oneCellAnchor>
  <xdr:oneCellAnchor>
    <xdr:from>
      <xdr:col>6</xdr:col>
      <xdr:colOff>207963</xdr:colOff>
      <xdr:row>205</xdr:row>
      <xdr:rowOff>13935</xdr:rowOff>
    </xdr:from>
    <xdr:ext cx="913648" cy="175113"/>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100-000016000000}"/>
                </a:ext>
              </a:extLst>
            </xdr:cNvPr>
            <xdr:cNvSpPr txBox="1"/>
          </xdr:nvSpPr>
          <xdr:spPr>
            <a:xfrm>
              <a:off x="3903663" y="35218335"/>
              <a:ext cx="913648"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t>Single span </a:t>
              </a:r>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𝑅</m:t>
                      </m:r>
                    </m:e>
                  </m:acc>
                  <m:r>
                    <a:rPr lang="en-US" sz="1100" b="0" i="1">
                      <a:latin typeface="Cambria Math" panose="02040503050406030204" pitchFamily="18" charset="0"/>
                    </a:rPr>
                    <m:t>=</m:t>
                  </m:r>
                </m:oMath>
              </a14:m>
              <a:endParaRPr lang="en-US" sz="1100"/>
            </a:p>
          </xdr:txBody>
        </xdr:sp>
      </mc:Choice>
      <mc:Fallback xmlns="">
        <xdr:sp macro="" textlink="">
          <xdr:nvSpPr>
            <xdr:cNvPr id="16" name="TextBox 15">
              <a:extLst>
                <a:ext uri="{FF2B5EF4-FFF2-40B4-BE49-F238E27FC236}">
                  <a16:creationId xmlns:a16="http://schemas.microsoft.com/office/drawing/2014/main" id="{00000000-0008-0000-0100-000016000000}"/>
                </a:ext>
              </a:extLst>
            </xdr:cNvPr>
            <xdr:cNvSpPr txBox="1"/>
          </xdr:nvSpPr>
          <xdr:spPr>
            <a:xfrm>
              <a:off x="3903663" y="35218335"/>
              <a:ext cx="913648"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t>Single span </a:t>
              </a:r>
              <a:r>
                <a:rPr lang="en-US" sz="1100" b="0" i="0">
                  <a:latin typeface="Cambria Math" panose="02040503050406030204" pitchFamily="18" charset="0"/>
                </a:rPr>
                <a:t>𝑅 ̅=</a:t>
              </a:r>
              <a:endParaRPr lang="en-US" sz="1100"/>
            </a:p>
          </xdr:txBody>
        </xdr:sp>
      </mc:Fallback>
    </mc:AlternateContent>
    <xdr:clientData/>
  </xdr:oneCellAnchor>
  <xdr:oneCellAnchor>
    <xdr:from>
      <xdr:col>0</xdr:col>
      <xdr:colOff>80610</xdr:colOff>
      <xdr:row>231</xdr:row>
      <xdr:rowOff>1411</xdr:rowOff>
    </xdr:from>
    <xdr:ext cx="489558" cy="175113"/>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B000000}"/>
                </a:ext>
              </a:extLst>
            </xdr:cNvPr>
            <xdr:cNvSpPr txBox="1"/>
          </xdr:nvSpPr>
          <xdr:spPr>
            <a:xfrm>
              <a:off x="80610" y="39155511"/>
              <a:ext cx="489558"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t>U</a:t>
              </a:r>
              <a14:m>
                <m:oMath xmlns:m="http://schemas.openxmlformats.org/officeDocument/2006/math">
                  <m:r>
                    <m:rPr>
                      <m:sty m:val="p"/>
                    </m:rPr>
                    <a:rPr lang="en-US" sz="1100" b="0" i="0">
                      <a:latin typeface="Cambria Math" panose="02040503050406030204" pitchFamily="18" charset="0"/>
                    </a:rPr>
                    <m:t>se</m:t>
                  </m:r>
                  <m:r>
                    <a:rPr lang="en-US" sz="1100" b="0" i="0">
                      <a:latin typeface="Cambria Math" panose="02040503050406030204" pitchFamily="18" charset="0"/>
                    </a:rPr>
                    <m:t> </m:t>
                  </m:r>
                  <m:acc>
                    <m:accPr>
                      <m:chr m:val="̅"/>
                      <m:ctrlPr>
                        <a:rPr lang="en-US" sz="1100" i="1">
                          <a:latin typeface="Cambria Math" panose="02040503050406030204" pitchFamily="18" charset="0"/>
                        </a:rPr>
                      </m:ctrlPr>
                    </m:accPr>
                    <m:e>
                      <m:r>
                        <a:rPr lang="en-US" sz="1100" b="0" i="1">
                          <a:latin typeface="Cambria Math" panose="02040503050406030204" pitchFamily="18" charset="0"/>
                        </a:rPr>
                        <m:t>𝑅</m:t>
                      </m:r>
                    </m:e>
                  </m:acc>
                  <m:r>
                    <a:rPr lang="en-US" sz="1100" b="0" i="1">
                      <a:latin typeface="Cambria Math" panose="02040503050406030204" pitchFamily="18" charset="0"/>
                    </a:rPr>
                    <m:t>=</m:t>
                  </m:r>
                </m:oMath>
              </a14:m>
              <a:endParaRPr lang="en-US" sz="1100"/>
            </a:p>
          </xdr:txBody>
        </xdr:sp>
      </mc:Choice>
      <mc:Fallback xmlns="">
        <xdr:sp macro="" textlink="">
          <xdr:nvSpPr>
            <xdr:cNvPr id="17" name="TextBox 16">
              <a:extLst>
                <a:ext uri="{FF2B5EF4-FFF2-40B4-BE49-F238E27FC236}">
                  <a16:creationId xmlns:a16="http://schemas.microsoft.com/office/drawing/2014/main" id="{00000000-0008-0000-0100-00001B000000}"/>
                </a:ext>
              </a:extLst>
            </xdr:cNvPr>
            <xdr:cNvSpPr txBox="1"/>
          </xdr:nvSpPr>
          <xdr:spPr>
            <a:xfrm>
              <a:off x="80610" y="39155511"/>
              <a:ext cx="489558"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t>U</a:t>
              </a:r>
              <a:r>
                <a:rPr lang="en-US" sz="1100" b="0" i="0">
                  <a:latin typeface="Cambria Math" panose="02040503050406030204" pitchFamily="18" charset="0"/>
                </a:rPr>
                <a:t>se 𝑅 ̅=</a:t>
              </a:r>
              <a:endParaRPr lang="en-US" sz="1100"/>
            </a:p>
          </xdr:txBody>
        </xdr:sp>
      </mc:Fallback>
    </mc:AlternateContent>
    <xdr:clientData/>
  </xdr:oneCellAnchor>
  <xdr:twoCellAnchor editAs="oneCell">
    <xdr:from>
      <xdr:col>5</xdr:col>
      <xdr:colOff>384000</xdr:colOff>
      <xdr:row>39</xdr:row>
      <xdr:rowOff>35278</xdr:rowOff>
    </xdr:from>
    <xdr:to>
      <xdr:col>9</xdr:col>
      <xdr:colOff>696736</xdr:colOff>
      <xdr:row>51</xdr:row>
      <xdr:rowOff>37875</xdr:rowOff>
    </xdr:to>
    <xdr:pic>
      <xdr:nvPicPr>
        <xdr:cNvPr id="18" name="Picture 17">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2"/>
        <a:stretch>
          <a:fillRect/>
        </a:stretch>
      </xdr:blipFill>
      <xdr:spPr>
        <a:xfrm>
          <a:off x="3463750" y="6671028"/>
          <a:ext cx="2795586" cy="1990147"/>
        </a:xfrm>
        <a:prstGeom prst="rect">
          <a:avLst/>
        </a:prstGeom>
      </xdr:spPr>
    </xdr:pic>
    <xdr:clientData/>
  </xdr:twoCellAnchor>
  <xdr:oneCellAnchor>
    <xdr:from>
      <xdr:col>0</xdr:col>
      <xdr:colOff>177799</xdr:colOff>
      <xdr:row>132</xdr:row>
      <xdr:rowOff>44450</xdr:rowOff>
    </xdr:from>
    <xdr:ext cx="1422929" cy="33655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100-000021000000}"/>
                </a:ext>
              </a:extLst>
            </xdr:cNvPr>
            <xdr:cNvSpPr txBox="1"/>
          </xdr:nvSpPr>
          <xdr:spPr>
            <a:xfrm>
              <a:off x="177799" y="23583900"/>
              <a:ext cx="1422929"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𝑆</m:t>
                      </m:r>
                    </m:e>
                    <m:sub>
                      <m:r>
                        <a:rPr lang="en-US" sz="1100" b="0" i="1">
                          <a:latin typeface="Cambria Math" panose="02040503050406030204" pitchFamily="18" charset="0"/>
                        </a:rPr>
                        <m:t>𝑊</m:t>
                      </m:r>
                    </m:sub>
                  </m:sSub>
                  <m:r>
                    <a:rPr lang="en-US" sz="1100" b="0" i="1">
                      <a:latin typeface="Cambria Math" panose="02040503050406030204" pitchFamily="18" charset="0"/>
                    </a:rPr>
                    <m:t>=</m:t>
                  </m:r>
                </m:oMath>
              </a14:m>
              <a:r>
                <a:rPr lang="en-US" sz="1100"/>
                <a:t>(</a:t>
              </a:r>
              <a:r>
                <a:rPr lang="en-US" sz="1100">
                  <a:solidFill>
                    <a:schemeClr val="tx1"/>
                  </a:solidFill>
                  <a:effectLst/>
                  <a:latin typeface="+mn-lt"/>
                  <a:ea typeface="+mn-ea"/>
                  <a:cs typeface="+mn-cs"/>
                </a:rPr>
                <a:t>2*b*d + </a:t>
              </a:r>
              <a14:m>
                <m:oMath xmlns:m="http://schemas.openxmlformats.org/officeDocument/2006/math">
                  <m:f>
                    <m:fPr>
                      <m:ctrlPr>
                        <a:rPr lang="en-US" sz="1100" b="0" i="1">
                          <a:solidFill>
                            <a:schemeClr val="tx1"/>
                          </a:solidFill>
                          <a:effectLst/>
                          <a:latin typeface="Cambria Math" panose="02040503050406030204" pitchFamily="18" charset="0"/>
                          <a:ea typeface="+mn-ea"/>
                          <a:cs typeface="+mn-cs"/>
                        </a:rPr>
                      </m:ctrlPr>
                    </m:fPr>
                    <m:num>
                      <m:sSubSup>
                        <m:sSubSupPr>
                          <m:ctrlPr>
                            <a:rPr lang="en-US" sz="1100" b="0" i="1">
                              <a:solidFill>
                                <a:schemeClr val="tx1"/>
                              </a:solidFill>
                              <a:effectLst/>
                              <a:latin typeface="Cambria Math" panose="02040503050406030204" pitchFamily="18" charset="0"/>
                              <a:ea typeface="+mn-ea"/>
                              <a:cs typeface="+mn-cs"/>
                            </a:rPr>
                          </m:ctrlPr>
                        </m:sSubSupPr>
                        <m:e>
                          <m:r>
                            <a:rPr lang="en-US" sz="1100" b="0" i="1">
                              <a:solidFill>
                                <a:schemeClr val="tx1"/>
                              </a:solidFill>
                              <a:effectLst/>
                              <a:latin typeface="Cambria Math" panose="02040503050406030204" pitchFamily="18" charset="0"/>
                              <a:ea typeface="+mn-ea"/>
                              <a:cs typeface="+mn-cs"/>
                            </a:rPr>
                            <m:t>𝑑</m:t>
                          </m:r>
                        </m:e>
                        <m:sub/>
                        <m:sup>
                          <m:r>
                            <a:rPr lang="en-US" sz="1100" b="0" i="1">
                              <a:solidFill>
                                <a:schemeClr val="tx1"/>
                              </a:solidFill>
                              <a:effectLst/>
                              <a:latin typeface="Cambria Math" panose="02040503050406030204" pitchFamily="18" charset="0"/>
                              <a:ea typeface="+mn-ea"/>
                              <a:cs typeface="+mn-cs"/>
                            </a:rPr>
                            <m:t>2</m:t>
                          </m:r>
                        </m:sup>
                      </m:sSubSup>
                    </m:num>
                    <m:den>
                      <m:r>
                        <a:rPr lang="en-US" sz="1100" b="0" i="1">
                          <a:solidFill>
                            <a:schemeClr val="tx1"/>
                          </a:solidFill>
                          <a:effectLst/>
                          <a:latin typeface="Cambria Math" panose="02040503050406030204" pitchFamily="18" charset="0"/>
                          <a:ea typeface="+mn-ea"/>
                          <a:cs typeface="+mn-cs"/>
                        </a:rPr>
                        <m:t>3</m:t>
                      </m:r>
                    </m:den>
                  </m:f>
                </m:oMath>
              </a14:m>
              <a:r>
                <a:rPr lang="en-US" sz="1100"/>
                <a:t>)*t</a:t>
              </a:r>
              <a:r>
                <a:rPr lang="en-US" sz="1100" baseline="-25000"/>
                <a:t>weff</a:t>
              </a:r>
            </a:p>
          </xdr:txBody>
        </xdr:sp>
      </mc:Choice>
      <mc:Fallback xmlns="">
        <xdr:sp macro="" textlink="">
          <xdr:nvSpPr>
            <xdr:cNvPr id="19" name="TextBox 18">
              <a:extLst>
                <a:ext uri="{FF2B5EF4-FFF2-40B4-BE49-F238E27FC236}">
                  <a16:creationId xmlns:a16="http://schemas.microsoft.com/office/drawing/2014/main" id="{00000000-0008-0000-0100-000021000000}"/>
                </a:ext>
              </a:extLst>
            </xdr:cNvPr>
            <xdr:cNvSpPr txBox="1"/>
          </xdr:nvSpPr>
          <xdr:spPr>
            <a:xfrm>
              <a:off x="177799" y="23583900"/>
              <a:ext cx="1422929"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𝑆_𝑊=</a:t>
              </a:r>
              <a:r>
                <a:rPr lang="en-US" sz="1100"/>
                <a:t>(</a:t>
              </a:r>
              <a:r>
                <a:rPr lang="en-US" sz="1100">
                  <a:solidFill>
                    <a:schemeClr val="tx1"/>
                  </a:solidFill>
                  <a:effectLst/>
                  <a:latin typeface="+mn-lt"/>
                  <a:ea typeface="+mn-ea"/>
                  <a:cs typeface="+mn-cs"/>
                </a:rPr>
                <a:t>2*b*d + </a:t>
              </a:r>
              <a:r>
                <a:rPr lang="en-US" sz="1100" b="0" i="0">
                  <a:solidFill>
                    <a:schemeClr val="tx1"/>
                  </a:solidFill>
                  <a:effectLst/>
                  <a:latin typeface="Cambria Math" panose="02040503050406030204" pitchFamily="18" charset="0"/>
                  <a:ea typeface="+mn-ea"/>
                  <a:cs typeface="+mn-cs"/>
                </a:rPr>
                <a:t>(𝑑_^2)/3</a:t>
              </a:r>
              <a:r>
                <a:rPr lang="en-US" sz="1100"/>
                <a:t>)*t</a:t>
              </a:r>
              <a:r>
                <a:rPr lang="en-US" sz="1100" baseline="-25000"/>
                <a:t>weff</a:t>
              </a:r>
            </a:p>
          </xdr:txBody>
        </xdr:sp>
      </mc:Fallback>
    </mc:AlternateContent>
    <xdr:clientData/>
  </xdr:oneCellAnchor>
  <xdr:oneCellAnchor>
    <xdr:from>
      <xdr:col>4</xdr:col>
      <xdr:colOff>53269</xdr:colOff>
      <xdr:row>139</xdr:row>
      <xdr:rowOff>1411</xdr:rowOff>
    </xdr:from>
    <xdr:ext cx="1157433"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100-000027000000}"/>
                </a:ext>
              </a:extLst>
            </xdr:cNvPr>
            <xdr:cNvSpPr txBox="1"/>
          </xdr:nvSpPr>
          <xdr:spPr>
            <a:xfrm>
              <a:off x="2517069" y="24677511"/>
              <a:ext cx="115743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𝑛</m:t>
                        </m:r>
                      </m:sub>
                    </m:sSub>
                    <m:r>
                      <a:rPr lang="en-US" sz="1100" b="0" i="1">
                        <a:latin typeface="Cambria Math" panose="02040503050406030204" pitchFamily="18" charset="0"/>
                      </a:rPr>
                      <m:t>=0.45</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𝑏</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𝑢𝑏</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𝑁</m:t>
                        </m:r>
                      </m:e>
                      <m:sub>
                        <m:r>
                          <a:rPr lang="en-US" sz="1100" b="0" i="1">
                            <a:latin typeface="Cambria Math" panose="02040503050406030204" pitchFamily="18" charset="0"/>
                          </a:rPr>
                          <m:t>𝑠</m:t>
                        </m:r>
                      </m:sub>
                    </m:sSub>
                  </m:oMath>
                </m:oMathPara>
              </a14:m>
              <a:endParaRPr lang="en-US" sz="1100"/>
            </a:p>
          </xdr:txBody>
        </xdr:sp>
      </mc:Choice>
      <mc:Fallback xmlns="">
        <xdr:sp macro="" textlink="">
          <xdr:nvSpPr>
            <xdr:cNvPr id="20" name="TextBox 19">
              <a:extLst>
                <a:ext uri="{FF2B5EF4-FFF2-40B4-BE49-F238E27FC236}">
                  <a16:creationId xmlns:a16="http://schemas.microsoft.com/office/drawing/2014/main" id="{00000000-0008-0000-0100-000027000000}"/>
                </a:ext>
              </a:extLst>
            </xdr:cNvPr>
            <xdr:cNvSpPr txBox="1"/>
          </xdr:nvSpPr>
          <xdr:spPr>
            <a:xfrm>
              <a:off x="2517069" y="24677511"/>
              <a:ext cx="115743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𝑅_𝑛=0.45𝐴_𝑏 𝐹_𝑢𝑏 𝑁_𝑠</a:t>
              </a:r>
              <a:endParaRPr lang="en-US" sz="1100"/>
            </a:p>
          </xdr:txBody>
        </xdr:sp>
      </mc:Fallback>
    </mc:AlternateContent>
    <xdr:clientData/>
  </xdr:oneCellAnchor>
  <xdr:twoCellAnchor editAs="oneCell">
    <xdr:from>
      <xdr:col>0</xdr:col>
      <xdr:colOff>61736</xdr:colOff>
      <xdr:row>55</xdr:row>
      <xdr:rowOff>44098</xdr:rowOff>
    </xdr:from>
    <xdr:to>
      <xdr:col>9</xdr:col>
      <xdr:colOff>405695</xdr:colOff>
      <xdr:row>76</xdr:row>
      <xdr:rowOff>88666</xdr:rowOff>
    </xdr:to>
    <xdr:pic>
      <xdr:nvPicPr>
        <xdr:cNvPr id="21" name="Picture 20">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
        <a:stretch>
          <a:fillRect/>
        </a:stretch>
      </xdr:blipFill>
      <xdr:spPr>
        <a:xfrm>
          <a:off x="61736" y="9276998"/>
          <a:ext cx="5906559" cy="3111618"/>
        </a:xfrm>
        <a:prstGeom prst="rect">
          <a:avLst/>
        </a:prstGeom>
      </xdr:spPr>
    </xdr:pic>
    <xdr:clientData/>
  </xdr:twoCellAnchor>
  <xdr:oneCellAnchor>
    <xdr:from>
      <xdr:col>2</xdr:col>
      <xdr:colOff>70556</xdr:colOff>
      <xdr:row>147</xdr:row>
      <xdr:rowOff>39687</xdr:rowOff>
    </xdr:from>
    <xdr:ext cx="2051459" cy="346633"/>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100-000024000000}"/>
                </a:ext>
              </a:extLst>
            </xdr:cNvPr>
            <xdr:cNvSpPr txBox="1"/>
          </xdr:nvSpPr>
          <xdr:spPr>
            <a:xfrm>
              <a:off x="1302456" y="26036587"/>
              <a:ext cx="2051459" cy="3466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𝑉</m:t>
                        </m:r>
                      </m:e>
                      <m:sub>
                        <m:r>
                          <a:rPr lang="en-US" sz="1100" b="0" i="1">
                            <a:latin typeface="Cambria Math" panose="02040503050406030204" pitchFamily="18" charset="0"/>
                          </a:rPr>
                          <m:t>𝑐𝑏</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𝑉𝑐</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𝑉𝑐𝑜</m:t>
                            </m:r>
                          </m:sub>
                        </m:sSub>
                      </m:den>
                    </m:f>
                    <m:sSub>
                      <m:sSubPr>
                        <m:ctrlPr>
                          <a:rPr lang="en-US" sz="1100" b="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𝜓</m:t>
                        </m:r>
                      </m:e>
                      <m:sub>
                        <m:r>
                          <a:rPr lang="en-US" sz="1100" b="0" i="1">
                            <a:latin typeface="Cambria Math" panose="02040503050406030204" pitchFamily="18" charset="0"/>
                          </a:rPr>
                          <m:t>𝑒𝑐</m:t>
                        </m:r>
                        <m:r>
                          <a:rPr lang="en-US" sz="1100" b="0" i="1">
                            <a:latin typeface="Cambria Math" panose="02040503050406030204" pitchFamily="18" charset="0"/>
                          </a:rPr>
                          <m:t>, </m:t>
                        </m:r>
                        <m:r>
                          <a:rPr lang="en-US" sz="1100" b="0" i="1">
                            <a:latin typeface="Cambria Math" panose="02040503050406030204" pitchFamily="18" charset="0"/>
                          </a:rPr>
                          <m:t>𝑉</m:t>
                        </m:r>
                      </m:sub>
                    </m:sSub>
                    <m:sSub>
                      <m:sSubPr>
                        <m:ctrlPr>
                          <a:rPr lang="en-US" sz="1100" b="0" i="1">
                            <a:latin typeface="Cambria Math" panose="02040503050406030204" pitchFamily="18" charset="0"/>
                          </a:rPr>
                        </m:ctrlPr>
                      </m:sSubPr>
                      <m:e>
                        <m:r>
                          <a:rPr lang="en-US" sz="1100" b="0" i="1">
                            <a:solidFill>
                              <a:schemeClr val="tx1"/>
                            </a:solidFill>
                            <a:effectLst/>
                            <a:latin typeface="Cambria Math" panose="02040503050406030204" pitchFamily="18" charset="0"/>
                            <a:ea typeface="+mn-ea"/>
                            <a:cs typeface="+mn-cs"/>
                          </a:rPr>
                          <m:t>𝜓</m:t>
                        </m:r>
                      </m:e>
                      <m:sub>
                        <m:r>
                          <a:rPr lang="en-US" sz="1100" b="0" i="1">
                            <a:latin typeface="Cambria Math" panose="02040503050406030204" pitchFamily="18" charset="0"/>
                          </a:rPr>
                          <m:t>𝑒𝑑</m:t>
                        </m:r>
                        <m:r>
                          <a:rPr lang="en-US" sz="1100" b="0" i="1">
                            <a:latin typeface="Cambria Math" panose="02040503050406030204" pitchFamily="18" charset="0"/>
                          </a:rPr>
                          <m:t>,</m:t>
                        </m:r>
                        <m:r>
                          <a:rPr lang="en-US" sz="1100" b="0" i="1">
                            <a:latin typeface="Cambria Math" panose="02040503050406030204" pitchFamily="18" charset="0"/>
                          </a:rPr>
                          <m:t>𝑉</m:t>
                        </m:r>
                      </m:sub>
                    </m:sSub>
                    <m:sSub>
                      <m:sSubPr>
                        <m:ctrlPr>
                          <a:rPr lang="en-US" sz="1100" b="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𝜓</m:t>
                        </m:r>
                      </m:e>
                      <m:sub>
                        <m:r>
                          <a:rPr lang="en-US" sz="1100" b="0" i="1">
                            <a:latin typeface="Cambria Math" panose="02040503050406030204" pitchFamily="18" charset="0"/>
                          </a:rPr>
                          <m:t>𝑐</m:t>
                        </m:r>
                        <m:r>
                          <a:rPr lang="en-US" sz="1100" b="0" i="1">
                            <a:latin typeface="Cambria Math" panose="02040503050406030204" pitchFamily="18" charset="0"/>
                          </a:rPr>
                          <m:t>,</m:t>
                        </m:r>
                        <m:r>
                          <a:rPr lang="en-US" sz="1100" b="0" i="1">
                            <a:latin typeface="Cambria Math" panose="02040503050406030204" pitchFamily="18" charset="0"/>
                          </a:rPr>
                          <m:t>𝑉</m:t>
                        </m:r>
                      </m:sub>
                    </m:sSub>
                    <m:sSub>
                      <m:sSubPr>
                        <m:ctrlPr>
                          <a:rPr lang="en-US" sz="1100" b="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𝜓</m:t>
                        </m:r>
                      </m:e>
                      <m:sub>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rPr>
                          <m:t>,</m:t>
                        </m:r>
                        <m:r>
                          <a:rPr lang="en-US" sz="1100" b="0" i="1">
                            <a:latin typeface="Cambria Math" panose="02040503050406030204" pitchFamily="18" charset="0"/>
                          </a:rPr>
                          <m:t>𝑉</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𝑉</m:t>
                        </m:r>
                      </m:e>
                      <m:sub>
                        <m:r>
                          <a:rPr lang="en-US" sz="1100" b="0" i="1">
                            <a:latin typeface="Cambria Math" panose="02040503050406030204" pitchFamily="18" charset="0"/>
                          </a:rPr>
                          <m:t>𝑏</m:t>
                        </m:r>
                      </m:sub>
                    </m:sSub>
                  </m:oMath>
                </m:oMathPara>
              </a14:m>
              <a:endParaRPr lang="en-US" sz="1100"/>
            </a:p>
          </xdr:txBody>
        </xdr:sp>
      </mc:Choice>
      <mc:Fallback xmlns="">
        <xdr:sp macro="" textlink="">
          <xdr:nvSpPr>
            <xdr:cNvPr id="22" name="TextBox 21">
              <a:extLst>
                <a:ext uri="{FF2B5EF4-FFF2-40B4-BE49-F238E27FC236}">
                  <a16:creationId xmlns:a16="http://schemas.microsoft.com/office/drawing/2014/main" id="{00000000-0008-0000-0100-000024000000}"/>
                </a:ext>
              </a:extLst>
            </xdr:cNvPr>
            <xdr:cNvSpPr txBox="1"/>
          </xdr:nvSpPr>
          <xdr:spPr>
            <a:xfrm>
              <a:off x="1302456" y="26036587"/>
              <a:ext cx="2051459" cy="3466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𝑉_𝑐𝑏=𝐴_𝑉𝑐/𝐴_𝑉𝑐𝑜  </a:t>
              </a:r>
              <a:r>
                <a:rPr lang="en-US" sz="1100" b="0" i="0">
                  <a:latin typeface="Cambria Math" panose="02040503050406030204" pitchFamily="18" charset="0"/>
                  <a:ea typeface="Cambria Math" panose="02040503050406030204" pitchFamily="18" charset="0"/>
                </a:rPr>
                <a:t>𝜓_(</a:t>
              </a:r>
              <a:r>
                <a:rPr lang="en-US" sz="1100" b="0" i="0">
                  <a:latin typeface="Cambria Math" panose="02040503050406030204" pitchFamily="18" charset="0"/>
                </a:rPr>
                <a:t>𝑒𝑐, 𝑉) </a:t>
              </a:r>
              <a:r>
                <a:rPr lang="en-US" sz="1100" b="0" i="0">
                  <a:solidFill>
                    <a:schemeClr val="tx1"/>
                  </a:solidFill>
                  <a:effectLst/>
                  <a:latin typeface="Cambria Math" panose="02040503050406030204" pitchFamily="18" charset="0"/>
                  <a:ea typeface="+mn-ea"/>
                  <a:cs typeface="+mn-cs"/>
                </a:rPr>
                <a:t>𝜓_(</a:t>
              </a:r>
              <a:r>
                <a:rPr lang="en-US" sz="1100" b="0" i="0">
                  <a:latin typeface="Cambria Math" panose="02040503050406030204" pitchFamily="18" charset="0"/>
                </a:rPr>
                <a:t>𝑒𝑑,𝑉) </a:t>
              </a:r>
              <a:r>
                <a:rPr lang="en-US" sz="1100" b="0" i="0">
                  <a:latin typeface="Cambria Math" panose="02040503050406030204" pitchFamily="18" charset="0"/>
                  <a:ea typeface="Cambria Math" panose="02040503050406030204" pitchFamily="18" charset="0"/>
                </a:rPr>
                <a:t>𝜓_(</a:t>
              </a:r>
              <a:r>
                <a:rPr lang="en-US" sz="1100" b="0" i="0">
                  <a:latin typeface="Cambria Math" panose="02040503050406030204" pitchFamily="18" charset="0"/>
                </a:rPr>
                <a:t>𝑐,𝑉) </a:t>
              </a:r>
              <a:r>
                <a:rPr lang="en-US" sz="1100" b="0" i="0">
                  <a:latin typeface="Cambria Math" panose="02040503050406030204" pitchFamily="18" charset="0"/>
                  <a:ea typeface="Cambria Math" panose="02040503050406030204" pitchFamily="18" charset="0"/>
                </a:rPr>
                <a:t>𝜓_(ℎ</a:t>
              </a:r>
              <a:r>
                <a:rPr lang="en-US" sz="1100" b="0" i="0">
                  <a:latin typeface="Cambria Math" panose="02040503050406030204" pitchFamily="18" charset="0"/>
                </a:rPr>
                <a:t>,𝑉) 𝑉_𝑏</a:t>
              </a:r>
              <a:endParaRPr lang="en-US" sz="1100"/>
            </a:p>
          </xdr:txBody>
        </xdr:sp>
      </mc:Fallback>
    </mc:AlternateContent>
    <xdr:clientData/>
  </xdr:oneCellAnchor>
  <xdr:oneCellAnchor>
    <xdr:from>
      <xdr:col>0</xdr:col>
      <xdr:colOff>61737</xdr:colOff>
      <xdr:row>155</xdr:row>
      <xdr:rowOff>70556</xdr:rowOff>
    </xdr:from>
    <xdr:ext cx="923586" cy="50013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100-000025000000}"/>
                </a:ext>
              </a:extLst>
            </xdr:cNvPr>
            <xdr:cNvSpPr txBox="1"/>
          </xdr:nvSpPr>
          <xdr:spPr>
            <a:xfrm>
              <a:off x="61737" y="27362856"/>
              <a:ext cx="923586"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𝜓</m:t>
                        </m:r>
                      </m:e>
                      <m:sub>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rPr>
                          <m:t>,</m:t>
                        </m:r>
                        <m:r>
                          <a:rPr lang="en-US" sz="1100" b="0" i="1">
                            <a:latin typeface="Cambria Math" panose="02040503050406030204" pitchFamily="18" charset="0"/>
                          </a:rPr>
                          <m:t>𝑉</m:t>
                        </m:r>
                      </m:sub>
                    </m:sSub>
                    <m:r>
                      <a:rPr lang="en-US" sz="1100" b="0" i="1">
                        <a:latin typeface="Cambria Math" panose="02040503050406030204" pitchFamily="18" charset="0"/>
                      </a:rPr>
                      <m:t>=</m:t>
                    </m:r>
                    <m:rad>
                      <m:radPr>
                        <m:degHide m:val="on"/>
                        <m:ctrlPr>
                          <a:rPr lang="en-US" sz="1100" b="0" i="1">
                            <a:latin typeface="Cambria Math" panose="02040503050406030204" pitchFamily="18" charset="0"/>
                          </a:rPr>
                        </m:ctrlPr>
                      </m:radPr>
                      <m:deg/>
                      <m:e>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1.5</m:t>
                                </m:r>
                                <m:r>
                                  <a:rPr lang="en-US" sz="1100" b="0" i="1">
                                    <a:latin typeface="Cambria Math" panose="02040503050406030204" pitchFamily="18" charset="0"/>
                                  </a:rPr>
                                  <m:t>𝑑</m:t>
                                </m:r>
                              </m:e>
                              <m:sub>
                                <m:r>
                                  <a:rPr lang="en-US" sz="1100" b="0" i="1">
                                    <a:latin typeface="Cambria Math" panose="02040503050406030204" pitchFamily="18" charset="0"/>
                                  </a:rPr>
                                  <m:t>𝑏</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h</m:t>
                                </m:r>
                              </m:e>
                              <m:sub>
                                <m:r>
                                  <a:rPr lang="en-US" sz="1100" b="0" i="1">
                                    <a:latin typeface="Cambria Math" panose="02040503050406030204" pitchFamily="18" charset="0"/>
                                  </a:rPr>
                                  <m:t>𝑒𝑓</m:t>
                                </m:r>
                              </m:sub>
                            </m:sSub>
                          </m:den>
                        </m:f>
                      </m:e>
                    </m:rad>
                  </m:oMath>
                </m:oMathPara>
              </a14:m>
              <a:endParaRPr lang="en-US" sz="1100"/>
            </a:p>
          </xdr:txBody>
        </xdr:sp>
      </mc:Choice>
      <mc:Fallback xmlns="">
        <xdr:sp macro="" textlink="">
          <xdr:nvSpPr>
            <xdr:cNvPr id="23" name="TextBox 22">
              <a:extLst>
                <a:ext uri="{FF2B5EF4-FFF2-40B4-BE49-F238E27FC236}">
                  <a16:creationId xmlns:a16="http://schemas.microsoft.com/office/drawing/2014/main" id="{00000000-0008-0000-0100-000025000000}"/>
                </a:ext>
              </a:extLst>
            </xdr:cNvPr>
            <xdr:cNvSpPr txBox="1"/>
          </xdr:nvSpPr>
          <xdr:spPr>
            <a:xfrm>
              <a:off x="61737" y="27362856"/>
              <a:ext cx="923586"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𝜓_(</a:t>
              </a:r>
              <a:r>
                <a:rPr lang="en-US" sz="1100" b="0" i="0">
                  <a:latin typeface="Cambria Math" panose="02040503050406030204" pitchFamily="18" charset="0"/>
                  <a:ea typeface="Cambria Math" panose="02040503050406030204" pitchFamily="18" charset="0"/>
                </a:rPr>
                <a:t>ℎ</a:t>
              </a:r>
              <a:r>
                <a:rPr lang="en-US" sz="1100" b="0" i="0">
                  <a:latin typeface="Cambria Math" panose="02040503050406030204" pitchFamily="18" charset="0"/>
                </a:rPr>
                <a:t>,𝑉)=√(〖1.5𝑑〗_𝑏/ℎ_𝑒𝑓 )</a:t>
              </a:r>
              <a:endParaRPr lang="en-US" sz="1100"/>
            </a:p>
          </xdr:txBody>
        </xdr:sp>
      </mc:Fallback>
    </mc:AlternateContent>
    <xdr:clientData/>
  </xdr:oneCellAnchor>
  <xdr:oneCellAnchor>
    <xdr:from>
      <xdr:col>3</xdr:col>
      <xdr:colOff>224898</xdr:colOff>
      <xdr:row>157</xdr:row>
      <xdr:rowOff>132294</xdr:rowOff>
    </xdr:from>
    <xdr:ext cx="2239074" cy="442429"/>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100-000026000000}"/>
                </a:ext>
              </a:extLst>
            </xdr:cNvPr>
            <xdr:cNvSpPr txBox="1"/>
          </xdr:nvSpPr>
          <xdr:spPr>
            <a:xfrm>
              <a:off x="2072748" y="27716694"/>
              <a:ext cx="223907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𝑉</m:t>
                        </m:r>
                      </m:e>
                      <m:sub>
                        <m:r>
                          <a:rPr lang="en-US" sz="1100" b="0" i="1">
                            <a:latin typeface="Cambria Math" panose="02040503050406030204" pitchFamily="18" charset="0"/>
                          </a:rPr>
                          <m:t>𝑏</m:t>
                        </m:r>
                        <m:r>
                          <a:rPr lang="en-US" sz="1100" b="0" i="1">
                            <a:latin typeface="Cambria Math" panose="02040503050406030204" pitchFamily="18" charset="0"/>
                          </a:rPr>
                          <m:t>1</m:t>
                        </m:r>
                      </m:sub>
                    </m:sSub>
                    <m:r>
                      <a:rPr lang="en-US" sz="1100" b="0" i="1">
                        <a:latin typeface="Cambria Math" panose="02040503050406030204" pitchFamily="18" charset="0"/>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7</m:t>
                        </m:r>
                        <m:sSup>
                          <m:sSupPr>
                            <m:ctrlPr>
                              <a:rPr lang="en-US" sz="1100" b="0" i="1">
                                <a:solidFill>
                                  <a:schemeClr val="tx1"/>
                                </a:solidFill>
                                <a:effectLst/>
                                <a:latin typeface="Cambria Math" panose="02040503050406030204" pitchFamily="18" charset="0"/>
                                <a:ea typeface="+mn-ea"/>
                                <a:cs typeface="+mn-cs"/>
                              </a:rPr>
                            </m:ctrlPr>
                          </m:sSupPr>
                          <m:e>
                            <m:d>
                              <m:dPr>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𝑙</m:t>
                                        </m:r>
                                      </m:e>
                                      <m:sub>
                                        <m:r>
                                          <a:rPr lang="en-US" sz="1100" b="0" i="1">
                                            <a:solidFill>
                                              <a:schemeClr val="tx1"/>
                                            </a:solidFill>
                                            <a:effectLst/>
                                            <a:latin typeface="Cambria Math" panose="02040503050406030204" pitchFamily="18" charset="0"/>
                                            <a:ea typeface="+mn-ea"/>
                                            <a:cs typeface="+mn-cs"/>
                                          </a:rPr>
                                          <m:t>𝑒</m:t>
                                        </m:r>
                                      </m:sub>
                                    </m:sSub>
                                  </m:num>
                                  <m:den>
                                    <m:r>
                                      <a:rPr lang="en-US" sz="1100" b="0" i="1">
                                        <a:latin typeface="Cambria Math" panose="02040503050406030204" pitchFamily="18" charset="0"/>
                                        <a:ea typeface="Cambria Math" panose="02040503050406030204" pitchFamily="18" charset="0"/>
                                      </a:rPr>
                                      <m:t>𝜑</m:t>
                                    </m:r>
                                  </m:den>
                                </m:f>
                              </m:e>
                            </m:d>
                          </m:e>
                          <m:sup>
                            <m:r>
                              <a:rPr lang="en-US" sz="1100" b="0" i="1">
                                <a:solidFill>
                                  <a:schemeClr val="tx1"/>
                                </a:solidFill>
                                <a:effectLst/>
                                <a:latin typeface="Cambria Math" panose="02040503050406030204" pitchFamily="18" charset="0"/>
                                <a:ea typeface="+mn-ea"/>
                                <a:cs typeface="+mn-cs"/>
                              </a:rPr>
                              <m:t>0.2</m:t>
                            </m:r>
                          </m:sup>
                        </m:sSup>
                        <m:rad>
                          <m:radPr>
                            <m:degHide m:val="on"/>
                            <m:ctrlPr>
                              <a:rPr lang="en-US" sz="1100" b="0" i="1">
                                <a:solidFill>
                                  <a:schemeClr val="tx1"/>
                                </a:solidFill>
                                <a:effectLst/>
                                <a:latin typeface="Cambria Math" panose="02040503050406030204" pitchFamily="18" charset="0"/>
                                <a:ea typeface="+mn-ea"/>
                                <a:cs typeface="+mn-cs"/>
                              </a:rPr>
                            </m:ctrlPr>
                          </m:radPr>
                          <m:deg/>
                          <m:e>
                            <m:r>
                              <a:rPr lang="en-US" sz="1100" b="0" i="1">
                                <a:latin typeface="Cambria Math" panose="02040503050406030204" pitchFamily="18" charset="0"/>
                                <a:ea typeface="Cambria Math" panose="02040503050406030204" pitchFamily="18" charset="0"/>
                              </a:rPr>
                              <m:t>𝜑</m:t>
                            </m:r>
                          </m:e>
                        </m:rad>
                      </m:e>
                    </m:d>
                    <m:sSub>
                      <m:sSubPr>
                        <m:ctrlPr>
                          <a:rPr lang="en-US" sz="1100" b="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𝜆</m:t>
                        </m:r>
                      </m:e>
                      <m:sub>
                        <m:r>
                          <a:rPr lang="en-US" sz="1100" b="0" i="1">
                            <a:latin typeface="Cambria Math" panose="02040503050406030204" pitchFamily="18" charset="0"/>
                          </a:rPr>
                          <m:t>𝑎</m:t>
                        </m:r>
                      </m:sub>
                    </m:sSub>
                    <m:rad>
                      <m:radPr>
                        <m:degHide m:val="on"/>
                        <m:ctrlPr>
                          <a:rPr lang="en-US" sz="1100" b="0" i="1">
                            <a:latin typeface="Cambria Math" panose="02040503050406030204" pitchFamily="18" charset="0"/>
                          </a:rPr>
                        </m:ctrlPr>
                      </m:radPr>
                      <m:deg/>
                      <m:e>
                        <m:sSub>
                          <m:sSubPr>
                            <m:ctrlPr>
                              <a:rPr lang="en-US" sz="1100" b="0" i="1">
                                <a:latin typeface="Cambria Math" panose="02040503050406030204" pitchFamily="18" charset="0"/>
                              </a:rPr>
                            </m:ctrlPr>
                          </m:sSubPr>
                          <m:e>
                            <m:r>
                              <a:rPr lang="en-US" sz="1100" b="0" i="1">
                                <a:latin typeface="Cambria Math" panose="02040503050406030204" pitchFamily="18" charset="0"/>
                              </a:rPr>
                              <m:t>𝑓</m:t>
                            </m:r>
                            <m:r>
                              <a:rPr lang="en-US" sz="1100" b="0" i="1">
                                <a:latin typeface="Cambria Math" panose="02040503050406030204" pitchFamily="18" charset="0"/>
                              </a:rPr>
                              <m:t>′</m:t>
                            </m:r>
                          </m:e>
                          <m:sub>
                            <m:r>
                              <a:rPr lang="en-US" sz="1100" b="0" i="1">
                                <a:latin typeface="Cambria Math" panose="02040503050406030204" pitchFamily="18" charset="0"/>
                              </a:rPr>
                              <m:t>𝑐</m:t>
                            </m:r>
                          </m:sub>
                        </m:sSub>
                      </m:e>
                    </m:rad>
                    <m:r>
                      <a:rPr lang="en-US" sz="1100" b="0" i="1">
                        <a:latin typeface="Cambria Math" panose="02040503050406030204" pitchFamily="18" charset="0"/>
                      </a:rPr>
                      <m:t>(</m:t>
                    </m:r>
                    <m:sSup>
                      <m:sSupPr>
                        <m:ctrlPr>
                          <a:rPr lang="en-US" sz="1100" b="0" i="1">
                            <a:latin typeface="Cambria Math" panose="02040503050406030204" pitchFamily="18" charset="0"/>
                          </a:rPr>
                        </m:ctrlPr>
                      </m:sSupPr>
                      <m:e>
                        <m:sSub>
                          <m:sSubPr>
                            <m:ctrlPr>
                              <a:rPr lang="en-US" sz="1100" b="0" i="1">
                                <a:latin typeface="Cambria Math" panose="02040503050406030204" pitchFamily="18" charset="0"/>
                              </a:rPr>
                            </m:ctrlPr>
                          </m:sSubPr>
                          <m:e>
                            <m:r>
                              <a:rPr lang="en-US" sz="1100" b="0" i="1">
                                <a:latin typeface="Cambria Math" panose="02040503050406030204" pitchFamily="18" charset="0"/>
                              </a:rPr>
                              <m:t>𝑑</m:t>
                            </m:r>
                          </m:e>
                          <m:sub>
                            <m:r>
                              <a:rPr lang="en-US" sz="1100" b="0" i="1">
                                <a:latin typeface="Cambria Math" panose="02040503050406030204" pitchFamily="18" charset="0"/>
                              </a:rPr>
                              <m:t>𝑏𝑜</m:t>
                            </m:r>
                          </m:sub>
                        </m:sSub>
                        <m:r>
                          <a:rPr lang="en-US" sz="1100" b="0" i="1">
                            <a:latin typeface="Cambria Math" panose="02040503050406030204" pitchFamily="18" charset="0"/>
                          </a:rPr>
                          <m:t>)</m:t>
                        </m:r>
                      </m:e>
                      <m:sup>
                        <m:r>
                          <a:rPr lang="en-US" sz="1100" b="0" i="1">
                            <a:latin typeface="Cambria Math" panose="02040503050406030204" pitchFamily="18" charset="0"/>
                          </a:rPr>
                          <m:t>1.5</m:t>
                        </m:r>
                      </m:sup>
                    </m:sSup>
                  </m:oMath>
                </m:oMathPara>
              </a14:m>
              <a:endParaRPr lang="en-US" sz="1100"/>
            </a:p>
          </xdr:txBody>
        </xdr:sp>
      </mc:Choice>
      <mc:Fallback xmlns="">
        <xdr:sp macro="" textlink="">
          <xdr:nvSpPr>
            <xdr:cNvPr id="24" name="TextBox 23">
              <a:extLst>
                <a:ext uri="{FF2B5EF4-FFF2-40B4-BE49-F238E27FC236}">
                  <a16:creationId xmlns:a16="http://schemas.microsoft.com/office/drawing/2014/main" id="{00000000-0008-0000-0100-000026000000}"/>
                </a:ext>
              </a:extLst>
            </xdr:cNvPr>
            <xdr:cNvSpPr txBox="1"/>
          </xdr:nvSpPr>
          <xdr:spPr>
            <a:xfrm>
              <a:off x="2072748" y="27716694"/>
              <a:ext cx="223907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𝑉_𝑏1=</a:t>
              </a:r>
              <a:r>
                <a:rPr lang="en-US" sz="1100" b="0" i="0">
                  <a:solidFill>
                    <a:schemeClr val="tx1"/>
                  </a:solidFill>
                  <a:effectLst/>
                  <a:latin typeface="Cambria Math" panose="02040503050406030204" pitchFamily="18" charset="0"/>
                  <a:ea typeface="+mn-ea"/>
                  <a:cs typeface="+mn-cs"/>
                </a:rPr>
                <a:t>(7(𝑙_𝑒/</a:t>
              </a:r>
              <a:r>
                <a:rPr lang="en-US" sz="1100" b="0" i="0">
                  <a:latin typeface="Cambria Math" panose="02040503050406030204" pitchFamily="18" charset="0"/>
                  <a:ea typeface="Cambria Math" panose="02040503050406030204" pitchFamily="18" charset="0"/>
                </a:rPr>
                <a:t>𝜑)</a:t>
              </a:r>
              <a:r>
                <a:rPr lang="en-US" sz="1100" b="0" i="0">
                  <a:solidFill>
                    <a:schemeClr val="tx1"/>
                  </a:solidFill>
                  <a:effectLst/>
                  <a:latin typeface="Cambria Math" panose="02040503050406030204" pitchFamily="18" charset="0"/>
                  <a:ea typeface="+mn-ea"/>
                  <a:cs typeface="+mn-cs"/>
                </a:rPr>
                <a:t>^0.2 √</a:t>
              </a:r>
              <a:r>
                <a:rPr lang="en-US" sz="1100" b="0" i="0">
                  <a:latin typeface="Cambria Math" panose="02040503050406030204" pitchFamily="18" charset="0"/>
                  <a:ea typeface="Cambria Math" panose="02040503050406030204" pitchFamily="18" charset="0"/>
                </a:rPr>
                <a:t>𝜑) 𝜆_</a:t>
              </a:r>
              <a:r>
                <a:rPr lang="en-US" sz="1100" b="0" i="0">
                  <a:latin typeface="Cambria Math" panose="02040503050406030204" pitchFamily="18" charset="0"/>
                </a:rPr>
                <a:t>𝑎 √(〖𝑓′〗_𝑐 )(〖𝑑_𝑏𝑜)〗^1.5</a:t>
              </a:r>
              <a:endParaRPr lang="en-US" sz="1100"/>
            </a:p>
          </xdr:txBody>
        </xdr:sp>
      </mc:Fallback>
    </mc:AlternateContent>
    <xdr:clientData/>
  </xdr:oneCellAnchor>
  <xdr:oneCellAnchor>
    <xdr:from>
      <xdr:col>7</xdr:col>
      <xdr:colOff>304271</xdr:colOff>
      <xdr:row>158</xdr:row>
      <xdr:rowOff>88193</xdr:rowOff>
    </xdr:from>
    <xdr:ext cx="1388072" cy="208647"/>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100-000028000000}"/>
                </a:ext>
              </a:extLst>
            </xdr:cNvPr>
            <xdr:cNvSpPr txBox="1"/>
          </xdr:nvSpPr>
          <xdr:spPr>
            <a:xfrm>
              <a:off x="4634971" y="27818643"/>
              <a:ext cx="1388072" cy="20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𝑉</m:t>
                        </m:r>
                      </m:e>
                      <m:sub>
                        <m:r>
                          <a:rPr lang="en-US" sz="1100" b="0" i="1">
                            <a:latin typeface="Cambria Math" panose="02040503050406030204" pitchFamily="18" charset="0"/>
                          </a:rPr>
                          <m:t>𝑏</m:t>
                        </m:r>
                        <m:r>
                          <a:rPr lang="en-US" sz="1100" b="0" i="1">
                            <a:latin typeface="Cambria Math" panose="02040503050406030204" pitchFamily="18" charset="0"/>
                          </a:rPr>
                          <m:t>2</m:t>
                        </m:r>
                      </m:sub>
                    </m:sSub>
                    <m:r>
                      <a:rPr lang="en-US" sz="1100" b="0" i="1">
                        <a:latin typeface="Cambria Math" panose="02040503050406030204" pitchFamily="18" charset="0"/>
                      </a:rPr>
                      <m:t>=9</m:t>
                    </m:r>
                    <m:sSub>
                      <m:sSubPr>
                        <m:ctrlPr>
                          <a:rPr lang="en-US" sz="1100" b="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𝜆</m:t>
                        </m:r>
                      </m:e>
                      <m:sub>
                        <m:r>
                          <a:rPr lang="en-US" sz="1100" b="0" i="1">
                            <a:latin typeface="Cambria Math" panose="02040503050406030204" pitchFamily="18" charset="0"/>
                          </a:rPr>
                          <m:t>𝑎</m:t>
                        </m:r>
                      </m:sub>
                    </m:sSub>
                    <m:rad>
                      <m:radPr>
                        <m:degHide m:val="on"/>
                        <m:ctrlPr>
                          <a:rPr lang="en-US" sz="1100" b="0" i="1">
                            <a:latin typeface="Cambria Math" panose="02040503050406030204" pitchFamily="18" charset="0"/>
                          </a:rPr>
                        </m:ctrlPr>
                      </m:radPr>
                      <m:deg/>
                      <m:e>
                        <m:sSub>
                          <m:sSubPr>
                            <m:ctrlPr>
                              <a:rPr lang="en-US" sz="1100" b="0" i="1">
                                <a:latin typeface="Cambria Math" panose="02040503050406030204" pitchFamily="18" charset="0"/>
                              </a:rPr>
                            </m:ctrlPr>
                          </m:sSubPr>
                          <m:e>
                            <m:r>
                              <a:rPr lang="en-US" sz="1100" b="0" i="1">
                                <a:latin typeface="Cambria Math" panose="02040503050406030204" pitchFamily="18" charset="0"/>
                              </a:rPr>
                              <m:t>𝑓</m:t>
                            </m:r>
                            <m:r>
                              <a:rPr lang="en-US" sz="1100" b="0" i="1">
                                <a:latin typeface="Cambria Math" panose="02040503050406030204" pitchFamily="18" charset="0"/>
                              </a:rPr>
                              <m:t>′</m:t>
                            </m:r>
                          </m:e>
                          <m:sub>
                            <m:r>
                              <a:rPr lang="en-US" sz="1100" b="0" i="1">
                                <a:latin typeface="Cambria Math" panose="02040503050406030204" pitchFamily="18" charset="0"/>
                              </a:rPr>
                              <m:t>𝑐</m:t>
                            </m:r>
                          </m:sub>
                        </m:sSub>
                      </m:e>
                    </m:rad>
                    <m:r>
                      <a:rPr lang="en-US" sz="1100" b="0" i="1">
                        <a:latin typeface="Cambria Math" panose="02040503050406030204" pitchFamily="18" charset="0"/>
                      </a:rPr>
                      <m:t>(</m:t>
                    </m:r>
                    <m:sSup>
                      <m:sSupPr>
                        <m:ctrlPr>
                          <a:rPr lang="en-US" sz="1100" b="0" i="1">
                            <a:latin typeface="Cambria Math" panose="02040503050406030204" pitchFamily="18" charset="0"/>
                          </a:rPr>
                        </m:ctrlPr>
                      </m:sSupPr>
                      <m:e>
                        <m:sSub>
                          <m:sSubPr>
                            <m:ctrlPr>
                              <a:rPr lang="en-US" sz="1100" b="0" i="1">
                                <a:latin typeface="Cambria Math" panose="02040503050406030204" pitchFamily="18" charset="0"/>
                              </a:rPr>
                            </m:ctrlPr>
                          </m:sSubPr>
                          <m:e>
                            <m:r>
                              <a:rPr lang="en-US" sz="1100" b="0" i="1">
                                <a:latin typeface="Cambria Math" panose="02040503050406030204" pitchFamily="18" charset="0"/>
                              </a:rPr>
                              <m:t>𝑑</m:t>
                            </m:r>
                          </m:e>
                          <m:sub>
                            <m:r>
                              <a:rPr lang="en-US" sz="1100" b="0" i="1">
                                <a:latin typeface="Cambria Math" panose="02040503050406030204" pitchFamily="18" charset="0"/>
                              </a:rPr>
                              <m:t>𝑏𝑜</m:t>
                            </m:r>
                          </m:sub>
                        </m:sSub>
                        <m:r>
                          <a:rPr lang="en-US" sz="1100" b="0" i="1">
                            <a:latin typeface="Cambria Math" panose="02040503050406030204" pitchFamily="18" charset="0"/>
                          </a:rPr>
                          <m:t>)</m:t>
                        </m:r>
                      </m:e>
                      <m:sup>
                        <m:r>
                          <a:rPr lang="en-US" sz="1100" b="0" i="1">
                            <a:latin typeface="Cambria Math" panose="02040503050406030204" pitchFamily="18" charset="0"/>
                          </a:rPr>
                          <m:t>1.5</m:t>
                        </m:r>
                      </m:sup>
                    </m:sSup>
                  </m:oMath>
                </m:oMathPara>
              </a14:m>
              <a:endParaRPr lang="en-US" sz="1100"/>
            </a:p>
          </xdr:txBody>
        </xdr:sp>
      </mc:Choice>
      <mc:Fallback xmlns="">
        <xdr:sp macro="" textlink="">
          <xdr:nvSpPr>
            <xdr:cNvPr id="25" name="TextBox 24">
              <a:extLst>
                <a:ext uri="{FF2B5EF4-FFF2-40B4-BE49-F238E27FC236}">
                  <a16:creationId xmlns:a16="http://schemas.microsoft.com/office/drawing/2014/main" id="{00000000-0008-0000-0100-000028000000}"/>
                </a:ext>
              </a:extLst>
            </xdr:cNvPr>
            <xdr:cNvSpPr txBox="1"/>
          </xdr:nvSpPr>
          <xdr:spPr>
            <a:xfrm>
              <a:off x="4634971" y="27818643"/>
              <a:ext cx="1388072" cy="20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𝑉_𝑏2=9</a:t>
              </a:r>
              <a:r>
                <a:rPr lang="en-US" sz="1100" b="0" i="0">
                  <a:latin typeface="Cambria Math" panose="02040503050406030204" pitchFamily="18" charset="0"/>
                  <a:ea typeface="Cambria Math" panose="02040503050406030204" pitchFamily="18" charset="0"/>
                </a:rPr>
                <a:t>𝜆_</a:t>
              </a:r>
              <a:r>
                <a:rPr lang="en-US" sz="1100" b="0" i="0">
                  <a:latin typeface="Cambria Math" panose="02040503050406030204" pitchFamily="18" charset="0"/>
                </a:rPr>
                <a:t>𝑎 √(〖𝑓′〗_𝑐 )(〖𝑑_𝑏𝑜)〗^1.5</a:t>
              </a:r>
              <a:endParaRPr lang="en-US" sz="1100"/>
            </a:p>
          </xdr:txBody>
        </xdr:sp>
      </mc:Fallback>
    </mc:AlternateContent>
    <xdr:clientData/>
  </xdr:oneCellAnchor>
  <xdr:oneCellAnchor>
    <xdr:from>
      <xdr:col>1</xdr:col>
      <xdr:colOff>502709</xdr:colOff>
      <xdr:row>169</xdr:row>
      <xdr:rowOff>110243</xdr:rowOff>
    </xdr:from>
    <xdr:ext cx="1168077" cy="176972"/>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100-00002B000000}"/>
                </a:ext>
              </a:extLst>
            </xdr:cNvPr>
            <xdr:cNvSpPr txBox="1"/>
          </xdr:nvSpPr>
          <xdr:spPr>
            <a:xfrm>
              <a:off x="1118659" y="29574243"/>
              <a:ext cx="1168077"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𝜙</m:t>
                        </m:r>
                        <m:r>
                          <a:rPr lang="en-US" sz="1100" b="0" i="1">
                            <a:latin typeface="Cambria Math" panose="02040503050406030204" pitchFamily="18" charset="0"/>
                          </a:rPr>
                          <m:t>𝑁</m:t>
                        </m:r>
                      </m:e>
                      <m:sub>
                        <m:r>
                          <a:rPr lang="en-US" sz="1100" b="0" i="1">
                            <a:latin typeface="Cambria Math" panose="02040503050406030204" pitchFamily="18" charset="0"/>
                          </a:rPr>
                          <m:t>𝑠𝑎</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𝜙</m:t>
                        </m:r>
                        <m:r>
                          <a:rPr lang="en-US" sz="1100" b="0" i="1">
                            <a:latin typeface="Cambria Math" panose="02040503050406030204" pitchFamily="18" charset="0"/>
                          </a:rPr>
                          <m:t>𝐴</m:t>
                        </m:r>
                      </m:e>
                      <m:sub>
                        <m:r>
                          <a:rPr lang="en-US" sz="1100" b="0" i="1">
                            <a:latin typeface="Cambria Math" panose="02040503050406030204" pitchFamily="18" charset="0"/>
                          </a:rPr>
                          <m:t>𝑠𝑒</m:t>
                        </m:r>
                        <m:r>
                          <a:rPr lang="en-US" sz="1100" b="0" i="1">
                            <a:latin typeface="Cambria Math" panose="02040503050406030204" pitchFamily="18" charset="0"/>
                          </a:rPr>
                          <m:t>,</m:t>
                        </m:r>
                        <m:r>
                          <a:rPr lang="en-US" sz="1100" b="0" i="1">
                            <a:latin typeface="Cambria Math" panose="02040503050406030204" pitchFamily="18" charset="0"/>
                          </a:rPr>
                          <m:t>𝑁</m:t>
                        </m:r>
                      </m:sub>
                    </m:sSub>
                    <m:sSub>
                      <m:sSubPr>
                        <m:ctrlPr>
                          <a:rPr lang="en-US" sz="1100" b="0" i="1">
                            <a:latin typeface="Cambria Math" panose="02040503050406030204" pitchFamily="18" charset="0"/>
                          </a:rPr>
                        </m:ctrlPr>
                      </m:sSubPr>
                      <m:e>
                        <m:r>
                          <a:rPr lang="en-US" sz="1100" b="0" i="1">
                            <a:latin typeface="Cambria Math" panose="02040503050406030204" pitchFamily="18" charset="0"/>
                          </a:rPr>
                          <m:t>𝑓</m:t>
                        </m:r>
                      </m:e>
                      <m:sub>
                        <m:r>
                          <a:rPr lang="en-US" sz="1100" b="0" i="1">
                            <a:latin typeface="Cambria Math" panose="02040503050406030204" pitchFamily="18" charset="0"/>
                          </a:rPr>
                          <m:t>𝑢𝑡𝑎</m:t>
                        </m:r>
                      </m:sub>
                    </m:sSub>
                  </m:oMath>
                </m:oMathPara>
              </a14:m>
              <a:endParaRPr lang="en-US" sz="1100"/>
            </a:p>
          </xdr:txBody>
        </xdr:sp>
      </mc:Choice>
      <mc:Fallback xmlns="">
        <xdr:sp macro="" textlink="">
          <xdr:nvSpPr>
            <xdr:cNvPr id="26" name="TextBox 25">
              <a:extLst>
                <a:ext uri="{FF2B5EF4-FFF2-40B4-BE49-F238E27FC236}">
                  <a16:creationId xmlns:a16="http://schemas.microsoft.com/office/drawing/2014/main" id="{00000000-0008-0000-0100-00002B000000}"/>
                </a:ext>
              </a:extLst>
            </xdr:cNvPr>
            <xdr:cNvSpPr txBox="1"/>
          </xdr:nvSpPr>
          <xdr:spPr>
            <a:xfrm>
              <a:off x="1118659" y="29574243"/>
              <a:ext cx="1168077"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i="0">
                  <a:latin typeface="Cambria Math" panose="02040503050406030204" pitchFamily="18" charset="0"/>
                  <a:ea typeface="Cambria Math" panose="02040503050406030204" pitchFamily="18" charset="0"/>
                </a:rPr>
                <a:t>𝜙</a:t>
              </a:r>
              <a:r>
                <a:rPr lang="en-US" sz="1100" b="0" i="0">
                  <a:latin typeface="Cambria Math" panose="02040503050406030204" pitchFamily="18" charset="0"/>
                </a:rPr>
                <a:t>𝑁〗_𝑠𝑎=〖</a:t>
              </a:r>
              <a:r>
                <a:rPr lang="en-US" sz="1100" b="0" i="0">
                  <a:latin typeface="Cambria Math" panose="02040503050406030204" pitchFamily="18" charset="0"/>
                  <a:ea typeface="Cambria Math" panose="02040503050406030204" pitchFamily="18" charset="0"/>
                </a:rPr>
                <a:t>𝜙</a:t>
              </a:r>
              <a:r>
                <a:rPr lang="en-US" sz="1100" b="0" i="0">
                  <a:latin typeface="Cambria Math" panose="02040503050406030204" pitchFamily="18" charset="0"/>
                </a:rPr>
                <a:t>𝐴〗_(𝑠𝑒,𝑁) 𝑓_𝑢𝑡𝑎</a:t>
              </a:r>
              <a:endParaRPr lang="en-US" sz="1100"/>
            </a:p>
          </xdr:txBody>
        </xdr:sp>
      </mc:Fallback>
    </mc:AlternateContent>
    <xdr:clientData/>
  </xdr:oneCellAnchor>
  <xdr:oneCellAnchor>
    <xdr:from>
      <xdr:col>5</xdr:col>
      <xdr:colOff>0</xdr:colOff>
      <xdr:row>169</xdr:row>
      <xdr:rowOff>0</xdr:rowOff>
    </xdr:from>
    <xdr:ext cx="1636923" cy="380361"/>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100-00002C000000}"/>
                </a:ext>
              </a:extLst>
            </xdr:cNvPr>
            <xdr:cNvSpPr txBox="1"/>
          </xdr:nvSpPr>
          <xdr:spPr>
            <a:xfrm>
              <a:off x="3079750" y="29464000"/>
              <a:ext cx="1636923"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𝐴</m:t>
                        </m:r>
                      </m:e>
                      <m:sub>
                        <m:r>
                          <a:rPr lang="en-US" sz="1100" b="0" i="1">
                            <a:latin typeface="Cambria Math" panose="02040503050406030204" pitchFamily="18" charset="0"/>
                          </a:rPr>
                          <m:t>𝑠𝑒</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𝜋</m:t>
                        </m:r>
                      </m:num>
                      <m:den>
                        <m:r>
                          <a:rPr lang="en-US" sz="1100" b="0" i="1">
                            <a:latin typeface="Cambria Math" panose="02040503050406030204" pitchFamily="18" charset="0"/>
                          </a:rPr>
                          <m:t>4</m:t>
                        </m:r>
                      </m:den>
                    </m:f>
                    <m:sSup>
                      <m:sSupPr>
                        <m:ctrlPr>
                          <a:rPr lang="en-US" sz="1100" b="0" i="1">
                            <a:latin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𝑑</m:t>
                                </m:r>
                              </m:e>
                              <m:sub>
                                <m:r>
                                  <a:rPr lang="en-US" sz="1100" b="0" i="1">
                                    <a:solidFill>
                                      <a:schemeClr val="tx1"/>
                                    </a:solidFill>
                                    <a:effectLst/>
                                    <a:latin typeface="Cambria Math" panose="02040503050406030204" pitchFamily="18" charset="0"/>
                                    <a:ea typeface="+mn-ea"/>
                                    <a:cs typeface="+mn-cs"/>
                                  </a:rPr>
                                  <m:t>𝑎</m:t>
                                </m:r>
                              </m:sub>
                            </m:sSub>
                            <m:r>
                              <a:rPr lang="en-US" sz="1100" b="0" i="1">
                                <a:solidFill>
                                  <a:schemeClr val="tx1"/>
                                </a:solidFill>
                                <a:effectLst/>
                                <a:latin typeface="Cambria Math" panose="02040503050406030204" pitchFamily="18" charset="0"/>
                                <a:ea typeface="+mn-ea"/>
                                <a:cs typeface="+mn-cs"/>
                              </a:rPr>
                              <m:t>−</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0.9743</m:t>
                                </m:r>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𝑛</m:t>
                                    </m:r>
                                  </m:e>
                                  <m:sub>
                                    <m:r>
                                      <a:rPr lang="en-US" sz="1100" b="0" i="1">
                                        <a:solidFill>
                                          <a:schemeClr val="tx1"/>
                                        </a:solidFill>
                                        <a:effectLst/>
                                        <a:latin typeface="Cambria Math" panose="02040503050406030204" pitchFamily="18" charset="0"/>
                                        <a:ea typeface="+mn-ea"/>
                                        <a:cs typeface="+mn-cs"/>
                                      </a:rPr>
                                      <m:t>𝑡</m:t>
                                    </m:r>
                                  </m:sub>
                                </m:sSub>
                              </m:den>
                            </m:f>
                            <m:r>
                              <m:rPr>
                                <m:nor/>
                              </m:rPr>
                              <a:rPr lang="en-US">
                                <a:effectLst/>
                              </a:rPr>
                              <m:t> </m:t>
                            </m:r>
                          </m:e>
                        </m:d>
                        <m:r>
                          <a:rPr lang="en-US" b="0" i="1">
                            <a:effectLst/>
                            <a:latin typeface="Cambria Math" panose="02040503050406030204" pitchFamily="18" charset="0"/>
                          </a:rPr>
                          <m:t> </m:t>
                        </m:r>
                      </m:e>
                      <m:sup>
                        <m:r>
                          <a:rPr lang="en-US" sz="1100" b="0" i="1">
                            <a:latin typeface="Cambria Math" panose="02040503050406030204" pitchFamily="18" charset="0"/>
                          </a:rPr>
                          <m:t>2</m:t>
                        </m:r>
                      </m:sup>
                    </m:sSup>
                  </m:oMath>
                </m:oMathPara>
              </a14:m>
              <a:endParaRPr lang="en-US" sz="1100"/>
            </a:p>
          </xdr:txBody>
        </xdr:sp>
      </mc:Choice>
      <mc:Fallback xmlns="">
        <xdr:sp macro="" textlink="">
          <xdr:nvSpPr>
            <xdr:cNvPr id="27" name="TextBox 26">
              <a:extLst>
                <a:ext uri="{FF2B5EF4-FFF2-40B4-BE49-F238E27FC236}">
                  <a16:creationId xmlns:a16="http://schemas.microsoft.com/office/drawing/2014/main" id="{00000000-0008-0000-0100-00002C000000}"/>
                </a:ext>
              </a:extLst>
            </xdr:cNvPr>
            <xdr:cNvSpPr txBox="1"/>
          </xdr:nvSpPr>
          <xdr:spPr>
            <a:xfrm>
              <a:off x="3079750" y="29464000"/>
              <a:ext cx="1636923"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ea typeface="Cambria Math" panose="02040503050406030204" pitchFamily="18" charset="0"/>
                </a:rPr>
                <a:t>𝐴_</a:t>
              </a:r>
              <a:r>
                <a:rPr lang="en-US" sz="1100" b="0" i="0">
                  <a:latin typeface="Cambria Math" panose="02040503050406030204" pitchFamily="18" charset="0"/>
                </a:rPr>
                <a:t>𝑠𝑒=</a:t>
              </a:r>
              <a:r>
                <a:rPr lang="en-US" sz="1100" b="0" i="0">
                  <a:latin typeface="Cambria Math" panose="02040503050406030204" pitchFamily="18" charset="0"/>
                  <a:ea typeface="Cambria Math" panose="02040503050406030204" pitchFamily="18" charset="0"/>
                </a:rPr>
                <a:t>𝜋/</a:t>
              </a:r>
              <a:r>
                <a:rPr lang="en-US" sz="1100" b="0" i="0">
                  <a:latin typeface="Cambria Math" panose="02040503050406030204" pitchFamily="18" charset="0"/>
                </a:rPr>
                <a:t>4 〖</a:t>
              </a:r>
              <a:r>
                <a:rPr lang="en-US" sz="1100" b="0" i="0">
                  <a:solidFill>
                    <a:schemeClr val="tx1"/>
                  </a:solidFill>
                  <a:effectLst/>
                  <a:latin typeface="Cambria Math" panose="02040503050406030204" pitchFamily="18" charset="0"/>
                  <a:ea typeface="+mn-ea"/>
                  <a:cs typeface="+mn-cs"/>
                </a:rPr>
                <a:t>(𝑑_𝑎−0.9743/𝑛_𝑡  "</a:t>
              </a:r>
              <a:r>
                <a:rPr lang="en-US" i="0">
                  <a:effectLst/>
                </a:rPr>
                <a:t> </a:t>
              </a:r>
              <a:r>
                <a:rPr lang="en-US" i="0">
                  <a:effectLst/>
                  <a:latin typeface="Cambria Math" panose="02040503050406030204" pitchFamily="18" charset="0"/>
                </a:rPr>
                <a:t>" )</a:t>
              </a:r>
              <a:r>
                <a:rPr lang="en-US" b="0" i="0">
                  <a:effectLst/>
                  <a:latin typeface="Cambria Math" panose="02040503050406030204" pitchFamily="18" charset="0"/>
                </a:rPr>
                <a:t>  </a:t>
              </a:r>
              <a:r>
                <a:rPr lang="en-US" sz="1100" b="0" i="0">
                  <a:effectLst/>
                  <a:latin typeface="Cambria Math" panose="02040503050406030204" pitchFamily="18" charset="0"/>
                </a:rPr>
                <a:t>〗^</a:t>
              </a:r>
              <a:r>
                <a:rPr lang="en-US" sz="1100" b="0" i="0">
                  <a:latin typeface="Cambria Math" panose="02040503050406030204" pitchFamily="18" charset="0"/>
                </a:rPr>
                <a:t>2</a:t>
              </a:r>
              <a:endParaRPr lang="en-US" sz="1100"/>
            </a:p>
          </xdr:txBody>
        </xdr:sp>
      </mc:Fallback>
    </mc:AlternateContent>
    <xdr:clientData/>
  </xdr:oneCellAnchor>
  <xdr:oneCellAnchor>
    <xdr:from>
      <xdr:col>0</xdr:col>
      <xdr:colOff>101423</xdr:colOff>
      <xdr:row>209</xdr:row>
      <xdr:rowOff>92603</xdr:rowOff>
    </xdr:from>
    <xdr:ext cx="1494896" cy="345607"/>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100-00002E000000}"/>
                </a:ext>
              </a:extLst>
            </xdr:cNvPr>
            <xdr:cNvSpPr txBox="1"/>
          </xdr:nvSpPr>
          <xdr:spPr>
            <a:xfrm>
              <a:off x="101423" y="35906603"/>
              <a:ext cx="1494896" cy="34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𝑇</m:t>
                    </m:r>
                    <m:r>
                      <a:rPr lang="en-US" sz="1100" b="0" i="1">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m:t>
                            </m:r>
                          </m:e>
                          <m:sub>
                            <m:r>
                              <a:rPr lang="en-US" sz="1100" b="0" i="1">
                                <a:latin typeface="Cambria Math" panose="02040503050406030204" pitchFamily="18" charset="0"/>
                              </a:rPr>
                              <m:t>𝑤</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𝐿</m:t>
                            </m:r>
                          </m:e>
                          <m:sub>
                            <m:r>
                              <a:rPr lang="en-US" sz="1100" b="0" i="1">
                                <a:solidFill>
                                  <a:schemeClr val="tx1"/>
                                </a:solidFill>
                                <a:effectLst/>
                                <a:latin typeface="Cambria Math" panose="02040503050406030204" pitchFamily="18" charset="0"/>
                                <a:ea typeface="+mn-ea"/>
                                <a:cs typeface="+mn-cs"/>
                              </a:rPr>
                              <m:t>𝐶</m:t>
                            </m:r>
                          </m:sub>
                        </m:sSub>
                        <m:r>
                          <a:rPr lang="en-US" sz="1100" b="0" i="1">
                            <a:solidFill>
                              <a:schemeClr val="tx1"/>
                            </a:solidFill>
                            <a:effectLst/>
                            <a:latin typeface="Cambria Math" panose="02040503050406030204" pitchFamily="18" charset="0"/>
                            <a:ea typeface="+mn-ea"/>
                            <a:cs typeface="+mn-cs"/>
                          </a:rPr>
                          <m:t>+2</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𝐻</m:t>
                            </m:r>
                          </m:e>
                          <m:sub>
                            <m:r>
                              <a:rPr lang="en-US" sz="1100" b="0" i="1">
                                <a:solidFill>
                                  <a:schemeClr val="tx1"/>
                                </a:solidFill>
                                <a:effectLst/>
                                <a:latin typeface="Cambria Math" panose="02040503050406030204" pitchFamily="18" charset="0"/>
                                <a:ea typeface="+mn-ea"/>
                                <a:cs typeface="+mn-cs"/>
                              </a:rPr>
                              <m:t>𝑤</m:t>
                            </m:r>
                          </m:sub>
                        </m:sSub>
                      </m:den>
                    </m:f>
                  </m:oMath>
                </m:oMathPara>
              </a14:m>
              <a:endParaRPr lang="en-US" sz="1100"/>
            </a:p>
          </xdr:txBody>
        </xdr:sp>
      </mc:Choice>
      <mc:Fallback xmlns="">
        <xdr:sp macro="" textlink="">
          <xdr:nvSpPr>
            <xdr:cNvPr id="28" name="TextBox 27">
              <a:extLst>
                <a:ext uri="{FF2B5EF4-FFF2-40B4-BE49-F238E27FC236}">
                  <a16:creationId xmlns:a16="http://schemas.microsoft.com/office/drawing/2014/main" id="{00000000-0008-0000-0100-00002E000000}"/>
                </a:ext>
              </a:extLst>
            </xdr:cNvPr>
            <xdr:cNvSpPr txBox="1"/>
          </xdr:nvSpPr>
          <xdr:spPr>
            <a:xfrm>
              <a:off x="101423" y="35906603"/>
              <a:ext cx="1494896" cy="34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𝑇</a:t>
              </a:r>
              <a:r>
                <a:rPr lang="en-US" sz="1100" b="0" i="0">
                  <a:latin typeface="Cambria Math" panose="02040503050406030204" pitchFamily="18" charset="0"/>
                </a:rPr>
                <a:t>=𝑅_𝑤/(</a:t>
              </a:r>
              <a:r>
                <a:rPr lang="en-US" sz="1100" b="0" i="0">
                  <a:solidFill>
                    <a:schemeClr val="tx1"/>
                  </a:solidFill>
                  <a:effectLst/>
                  <a:latin typeface="Cambria Math" panose="02040503050406030204" pitchFamily="18" charset="0"/>
                  <a:ea typeface="+mn-ea"/>
                  <a:cs typeface="+mn-cs"/>
                </a:rPr>
                <a:t>𝐿_𝐶+2𝐻_𝑤 )</a:t>
              </a:r>
              <a:endParaRPr lang="en-US" sz="1100"/>
            </a:p>
          </xdr:txBody>
        </xdr:sp>
      </mc:Fallback>
    </mc:AlternateContent>
    <xdr:clientData/>
  </xdr:oneCellAnchor>
  <xdr:oneCellAnchor>
    <xdr:from>
      <xdr:col>0</xdr:col>
      <xdr:colOff>48507</xdr:colOff>
      <xdr:row>212</xdr:row>
      <xdr:rowOff>13230</xdr:rowOff>
    </xdr:from>
    <xdr:ext cx="1494896" cy="172227"/>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100-00002F000000}"/>
                </a:ext>
              </a:extLst>
            </xdr:cNvPr>
            <xdr:cNvSpPr txBox="1"/>
          </xdr:nvSpPr>
          <xdr:spPr>
            <a:xfrm>
              <a:off x="48507" y="36290780"/>
              <a:ext cx="149489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𝐶𝑇</m:t>
                        </m:r>
                      </m:sub>
                    </m:sSub>
                    <m:r>
                      <a:rPr lang="en-US" sz="1100" b="0" i="1">
                        <a:latin typeface="Cambria Math" panose="02040503050406030204" pitchFamily="18" charset="0"/>
                      </a:rPr>
                      <m:t>=</m:t>
                    </m:r>
                    <m:r>
                      <a:rPr lang="en-US" sz="1100" b="0" i="1">
                        <a:latin typeface="Cambria Math" panose="02040503050406030204" pitchFamily="18" charset="0"/>
                      </a:rPr>
                      <m:t>𝑇</m:t>
                    </m:r>
                    <m:r>
                      <a:rPr lang="en-US" sz="1100" b="0" i="1">
                        <a:latin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𝐻</m:t>
                        </m:r>
                      </m:e>
                      <m:sub>
                        <m:r>
                          <a:rPr lang="en-US" sz="1100" b="0" i="1">
                            <a:solidFill>
                              <a:schemeClr val="tx1"/>
                            </a:solidFill>
                            <a:effectLst/>
                            <a:latin typeface="Cambria Math" panose="02040503050406030204" pitchFamily="18" charset="0"/>
                            <a:ea typeface="+mn-ea"/>
                            <a:cs typeface="+mn-cs"/>
                          </a:rPr>
                          <m:t>𝑤</m:t>
                        </m:r>
                      </m:sub>
                    </m:sSub>
                  </m:oMath>
                </m:oMathPara>
              </a14:m>
              <a:endParaRPr lang="en-US" sz="1100"/>
            </a:p>
          </xdr:txBody>
        </xdr:sp>
      </mc:Choice>
      <mc:Fallback xmlns="">
        <xdr:sp macro="" textlink="">
          <xdr:nvSpPr>
            <xdr:cNvPr id="29" name="TextBox 28">
              <a:extLst>
                <a:ext uri="{FF2B5EF4-FFF2-40B4-BE49-F238E27FC236}">
                  <a16:creationId xmlns:a16="http://schemas.microsoft.com/office/drawing/2014/main" id="{00000000-0008-0000-0100-00002F000000}"/>
                </a:ext>
              </a:extLst>
            </xdr:cNvPr>
            <xdr:cNvSpPr txBox="1"/>
          </xdr:nvSpPr>
          <xdr:spPr>
            <a:xfrm>
              <a:off x="48507" y="36290780"/>
              <a:ext cx="149489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𝑀_𝐶𝑇</a:t>
              </a:r>
              <a:r>
                <a:rPr lang="en-US" sz="1100" b="0" i="0">
                  <a:latin typeface="Cambria Math" panose="02040503050406030204" pitchFamily="18" charset="0"/>
                </a:rPr>
                <a:t>=𝑇∗</a:t>
              </a:r>
              <a:r>
                <a:rPr lang="en-US" sz="1100" b="0" i="0">
                  <a:solidFill>
                    <a:schemeClr val="tx1"/>
                  </a:solidFill>
                  <a:effectLst/>
                  <a:latin typeface="Cambria Math" panose="02040503050406030204" pitchFamily="18" charset="0"/>
                  <a:ea typeface="+mn-ea"/>
                  <a:cs typeface="+mn-cs"/>
                </a:rPr>
                <a:t>𝐻_𝑤</a:t>
              </a:r>
              <a:endParaRPr lang="en-US" sz="1100"/>
            </a:p>
          </xdr:txBody>
        </xdr:sp>
      </mc:Fallback>
    </mc:AlternateContent>
    <xdr:clientData/>
  </xdr:oneCellAnchor>
  <xdr:oneCellAnchor>
    <xdr:from>
      <xdr:col>0</xdr:col>
      <xdr:colOff>251354</xdr:colOff>
      <xdr:row>235</xdr:row>
      <xdr:rowOff>110242</xdr:rowOff>
    </xdr:from>
    <xdr:ext cx="1233736" cy="351891"/>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100-000030000000}"/>
                </a:ext>
              </a:extLst>
            </xdr:cNvPr>
            <xdr:cNvSpPr txBox="1"/>
          </xdr:nvSpPr>
          <xdr:spPr>
            <a:xfrm>
              <a:off x="251354" y="39873942"/>
              <a:ext cx="1233736" cy="351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𝑇</m:t>
                    </m:r>
                    <m:r>
                      <a:rPr lang="en-US" sz="1100" b="0" i="1">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𝑃</m:t>
                            </m:r>
                          </m:e>
                          <m:sub>
                            <m:r>
                              <a:rPr lang="en-US" sz="1100" b="0" i="1">
                                <a:solidFill>
                                  <a:schemeClr val="tx1"/>
                                </a:solidFill>
                                <a:effectLst/>
                                <a:latin typeface="Cambria Math" panose="02040503050406030204" pitchFamily="18" charset="0"/>
                                <a:ea typeface="+mn-ea"/>
                                <a:cs typeface="+mn-cs"/>
                              </a:rPr>
                              <m:t>𝑝</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𝑊</m:t>
                            </m:r>
                          </m:e>
                          <m:sub>
                            <m:r>
                              <a:rPr lang="en-US" sz="1100" b="0" i="1">
                                <a:latin typeface="Cambria Math" panose="02040503050406030204" pitchFamily="18" charset="0"/>
                              </a:rPr>
                              <m:t>𝑏</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𝑑</m:t>
                            </m:r>
                          </m:e>
                          <m:sub>
                            <m:r>
                              <a:rPr lang="en-US" sz="1100" b="0" i="1">
                                <a:latin typeface="Cambria Math" panose="02040503050406030204" pitchFamily="18" charset="0"/>
                              </a:rPr>
                              <m:t>𝑏</m:t>
                            </m:r>
                          </m:sub>
                        </m:sSub>
                        <m:r>
                          <a:rPr lang="en-US" sz="1100" b="0" i="1">
                            <a:latin typeface="Cambria Math" panose="02040503050406030204" pitchFamily="18" charset="0"/>
                          </a:rPr>
                          <m:t>+</m:t>
                        </m:r>
                        <m:r>
                          <a:rPr lang="en-US" sz="1100" b="0" i="1">
                            <a:solidFill>
                              <a:schemeClr val="tx1"/>
                            </a:solidFill>
                            <a:effectLst/>
                            <a:latin typeface="Cambria Math" panose="02040503050406030204" pitchFamily="18" charset="0"/>
                            <a:ea typeface="+mn-ea"/>
                            <a:cs typeface="+mn-cs"/>
                          </a:rPr>
                          <m:t>2</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𝐻</m:t>
                            </m:r>
                          </m:e>
                          <m:sub>
                            <m:r>
                              <a:rPr lang="en-US" sz="1100" b="0" i="1">
                                <a:solidFill>
                                  <a:schemeClr val="tx1"/>
                                </a:solidFill>
                                <a:effectLst/>
                                <a:latin typeface="Cambria Math" panose="02040503050406030204" pitchFamily="18" charset="0"/>
                                <a:ea typeface="+mn-ea"/>
                                <a:cs typeface="+mn-cs"/>
                              </a:rPr>
                              <m:t>𝑤</m:t>
                            </m:r>
                          </m:sub>
                        </m:sSub>
                      </m:den>
                    </m:f>
                  </m:oMath>
                </m:oMathPara>
              </a14:m>
              <a:endParaRPr lang="en-US" sz="1100"/>
            </a:p>
          </xdr:txBody>
        </xdr:sp>
      </mc:Choice>
      <mc:Fallback xmlns="">
        <xdr:sp macro="" textlink="">
          <xdr:nvSpPr>
            <xdr:cNvPr id="30" name="TextBox 29">
              <a:extLst>
                <a:ext uri="{FF2B5EF4-FFF2-40B4-BE49-F238E27FC236}">
                  <a16:creationId xmlns:a16="http://schemas.microsoft.com/office/drawing/2014/main" id="{00000000-0008-0000-0100-000030000000}"/>
                </a:ext>
              </a:extLst>
            </xdr:cNvPr>
            <xdr:cNvSpPr txBox="1"/>
          </xdr:nvSpPr>
          <xdr:spPr>
            <a:xfrm>
              <a:off x="251354" y="39873942"/>
              <a:ext cx="1233736" cy="351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𝑇=</a:t>
              </a:r>
              <a:r>
                <a:rPr lang="en-US" sz="1100" b="0" i="0">
                  <a:solidFill>
                    <a:schemeClr val="tx1"/>
                  </a:solidFill>
                  <a:effectLst/>
                  <a:latin typeface="Cambria Math" panose="02040503050406030204" pitchFamily="18" charset="0"/>
                  <a:ea typeface="+mn-ea"/>
                  <a:cs typeface="+mn-cs"/>
                </a:rPr>
                <a:t>𝑃_𝑝/(</a:t>
              </a:r>
              <a:r>
                <a:rPr lang="en-US" sz="1100" b="0" i="0">
                  <a:latin typeface="Cambria Math" panose="02040503050406030204" pitchFamily="18" charset="0"/>
                </a:rPr>
                <a:t>𝑊_𝑏+𝑑_𝑏+</a:t>
              </a:r>
              <a:r>
                <a:rPr lang="en-US" sz="1100" b="0" i="0">
                  <a:solidFill>
                    <a:schemeClr val="tx1"/>
                  </a:solidFill>
                  <a:effectLst/>
                  <a:latin typeface="Cambria Math" panose="02040503050406030204" pitchFamily="18" charset="0"/>
                  <a:ea typeface="+mn-ea"/>
                  <a:cs typeface="+mn-cs"/>
                </a:rPr>
                <a:t>2𝐻_𝑤 )</a:t>
              </a:r>
              <a:endParaRPr lang="en-US" sz="1100"/>
            </a:p>
          </xdr:txBody>
        </xdr:sp>
      </mc:Fallback>
    </mc:AlternateContent>
    <xdr:clientData/>
  </xdr:oneCellAnchor>
  <xdr:oneCellAnchor>
    <xdr:from>
      <xdr:col>0</xdr:col>
      <xdr:colOff>0</xdr:colOff>
      <xdr:row>237</xdr:row>
      <xdr:rowOff>176389</xdr:rowOff>
    </xdr:from>
    <xdr:ext cx="1494896" cy="175113"/>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100-000031000000}"/>
                </a:ext>
              </a:extLst>
            </xdr:cNvPr>
            <xdr:cNvSpPr txBox="1"/>
          </xdr:nvSpPr>
          <xdr:spPr>
            <a:xfrm>
              <a:off x="0" y="40263939"/>
              <a:ext cx="1494896"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𝐶𝑇</m:t>
                        </m:r>
                      </m:sub>
                    </m:sSub>
                    <m:r>
                      <a:rPr lang="en-US" sz="1100" b="0" i="1">
                        <a:latin typeface="Cambria Math" panose="02040503050406030204" pitchFamily="18" charset="0"/>
                      </a:rPr>
                      <m:t>=</m:t>
                    </m:r>
                    <m:r>
                      <a:rPr lang="en-US" sz="1100" b="0" i="1">
                        <a:latin typeface="Cambria Math" panose="02040503050406030204" pitchFamily="18" charset="0"/>
                      </a:rPr>
                      <m:t>𝑇</m:t>
                    </m:r>
                    <m:r>
                      <a:rPr lang="en-US" sz="1100" b="0" i="1">
                        <a:latin typeface="Cambria Math" panose="02040503050406030204" pitchFamily="18" charset="0"/>
                      </a:rPr>
                      <m:t>∗</m:t>
                    </m:r>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𝑌</m:t>
                        </m:r>
                      </m:e>
                    </m:acc>
                  </m:oMath>
                </m:oMathPara>
              </a14:m>
              <a:endParaRPr lang="en-US" sz="1100"/>
            </a:p>
          </xdr:txBody>
        </xdr:sp>
      </mc:Choice>
      <mc:Fallback xmlns="">
        <xdr:sp macro="" textlink="">
          <xdr:nvSpPr>
            <xdr:cNvPr id="31" name="TextBox 30">
              <a:extLst>
                <a:ext uri="{FF2B5EF4-FFF2-40B4-BE49-F238E27FC236}">
                  <a16:creationId xmlns:a16="http://schemas.microsoft.com/office/drawing/2014/main" id="{00000000-0008-0000-0100-000031000000}"/>
                </a:ext>
              </a:extLst>
            </xdr:cNvPr>
            <xdr:cNvSpPr txBox="1"/>
          </xdr:nvSpPr>
          <xdr:spPr>
            <a:xfrm>
              <a:off x="0" y="40263939"/>
              <a:ext cx="1494896" cy="1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𝑀_𝐶𝑇</a:t>
              </a:r>
              <a:r>
                <a:rPr lang="en-US" sz="1100" b="0" i="0">
                  <a:latin typeface="Cambria Math" panose="02040503050406030204" pitchFamily="18" charset="0"/>
                </a:rPr>
                <a:t>=𝑇∗</a:t>
              </a:r>
              <a:r>
                <a:rPr lang="en-US" sz="1100" b="0" i="0">
                  <a:solidFill>
                    <a:schemeClr val="tx1"/>
                  </a:solidFill>
                  <a:effectLst/>
                  <a:latin typeface="Cambria Math" panose="02040503050406030204" pitchFamily="18" charset="0"/>
                  <a:ea typeface="+mn-ea"/>
                  <a:cs typeface="+mn-cs"/>
                </a:rPr>
                <a:t>𝑌 ̅</a:t>
              </a:r>
              <a:endParaRPr lang="en-US" sz="1100"/>
            </a:p>
          </xdr:txBody>
        </xdr:sp>
      </mc:Fallback>
    </mc:AlternateContent>
    <xdr:clientData/>
  </xdr:oneCellAnchor>
  <xdr:twoCellAnchor editAs="oneCell">
    <xdr:from>
      <xdr:col>6</xdr:col>
      <xdr:colOff>203681</xdr:colOff>
      <xdr:row>14</xdr:row>
      <xdr:rowOff>23963</xdr:rowOff>
    </xdr:from>
    <xdr:to>
      <xdr:col>9</xdr:col>
      <xdr:colOff>715591</xdr:colOff>
      <xdr:row>30</xdr:row>
      <xdr:rowOff>71887</xdr:rowOff>
    </xdr:to>
    <xdr:pic>
      <xdr:nvPicPr>
        <xdr:cNvPr id="34" name="Picture 33">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4"/>
        <a:stretch>
          <a:fillRect/>
        </a:stretch>
      </xdr:blipFill>
      <xdr:spPr>
        <a:xfrm>
          <a:off x="3905851" y="2641840"/>
          <a:ext cx="2380966" cy="2629858"/>
        </a:xfrm>
        <a:prstGeom prst="rect">
          <a:avLst/>
        </a:prstGeom>
      </xdr:spPr>
    </xdr:pic>
    <xdr:clientData/>
  </xdr:twoCellAnchor>
  <xdr:oneCellAnchor>
    <xdr:from>
      <xdr:col>5</xdr:col>
      <xdr:colOff>571679</xdr:colOff>
      <xdr:row>101</xdr:row>
      <xdr:rowOff>108909</xdr:rowOff>
    </xdr:from>
    <xdr:ext cx="1423180" cy="397738"/>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B9B7AC4E-B8E2-18CD-5907-D5BB0561CB08}"/>
                </a:ext>
              </a:extLst>
            </xdr:cNvPr>
            <xdr:cNvSpPr txBox="1"/>
          </xdr:nvSpPr>
          <xdr:spPr>
            <a:xfrm>
              <a:off x="3537009" y="17415654"/>
              <a:ext cx="1423180" cy="39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𝑙</m:t>
                        </m:r>
                      </m:e>
                      <m:sub>
                        <m:r>
                          <a:rPr lang="en-US" sz="1000" b="0" i="1">
                            <a:latin typeface="Cambria Math" panose="02040503050406030204" pitchFamily="18" charset="0"/>
                          </a:rPr>
                          <m:t>h𝑏</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38.0</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𝑏</m:t>
                            </m:r>
                          </m:sub>
                        </m:sSub>
                      </m:num>
                      <m:den>
                        <m:r>
                          <a:rPr lang="en-US" sz="1000" b="0" i="1">
                            <a:latin typeface="Cambria Math" panose="02040503050406030204" pitchFamily="18" charset="0"/>
                          </a:rPr>
                          <m:t>60.0</m:t>
                        </m:r>
                      </m:den>
                    </m:f>
                    <m:r>
                      <a:rPr lang="en-US" sz="1000" b="0" i="1">
                        <a:latin typeface="Cambria Math" panose="02040503050406030204" pitchFamily="18" charset="0"/>
                      </a:rPr>
                      <m:t> </m:t>
                    </m:r>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num>
                          <m:den>
                            <m:rad>
                              <m:radPr>
                                <m:degHide m:val="on"/>
                                <m:ctrlPr>
                                  <a:rPr lang="en-US" sz="1000" b="0" i="1">
                                    <a:latin typeface="Cambria Math" panose="02040503050406030204" pitchFamily="18" charset="0"/>
                                  </a:rPr>
                                </m:ctrlPr>
                              </m:radPr>
                              <m:deg/>
                              <m:e>
                                <m:sSub>
                                  <m:sSubPr>
                                    <m:ctrlPr>
                                      <a:rPr lang="en-US" sz="1000" b="0" i="1">
                                        <a:latin typeface="Cambria Math" panose="02040503050406030204" pitchFamily="18" charset="0"/>
                                      </a:rPr>
                                    </m:ctrlPr>
                                  </m:sSubPr>
                                  <m:e>
                                    <m:sSup>
                                      <m:sSupPr>
                                        <m:ctrlPr>
                                          <a:rPr lang="en-US" sz="1000" b="0" i="1">
                                            <a:latin typeface="Cambria Math" panose="02040503050406030204" pitchFamily="18" charset="0"/>
                                          </a:rPr>
                                        </m:ctrlPr>
                                      </m:sSupPr>
                                      <m:e>
                                        <m:r>
                                          <a:rPr lang="en-US" sz="1000" b="0" i="1">
                                            <a:latin typeface="Cambria Math" panose="02040503050406030204" pitchFamily="18" charset="0"/>
                                          </a:rPr>
                                          <m:t>𝑓</m:t>
                                        </m:r>
                                      </m:e>
                                      <m:sup>
                                        <m:r>
                                          <a:rPr lang="en-US" sz="1000" b="0" i="1">
                                            <a:latin typeface="Cambria Math" panose="02040503050406030204" pitchFamily="18" charset="0"/>
                                          </a:rPr>
                                          <m:t>′</m:t>
                                        </m:r>
                                      </m:sup>
                                    </m:sSup>
                                  </m:e>
                                  <m:sub>
                                    <m:r>
                                      <a:rPr lang="en-US" sz="1000" b="0" i="1">
                                        <a:latin typeface="Cambria Math" panose="02040503050406030204" pitchFamily="18" charset="0"/>
                                      </a:rPr>
                                      <m:t>𝑐</m:t>
                                    </m:r>
                                  </m:sub>
                                </m:sSub>
                              </m:e>
                            </m:rad>
                          </m:den>
                        </m:f>
                      </m:e>
                    </m:d>
                    <m:r>
                      <a:rPr lang="en-US" sz="1000" b="0" i="0">
                        <a:latin typeface="Cambria Math" panose="02040503050406030204" pitchFamily="18" charset="0"/>
                      </a:rPr>
                      <m:t>  </m:t>
                    </m:r>
                  </m:oMath>
                </m:oMathPara>
              </a14:m>
              <a:endParaRPr lang="en-US" sz="1000"/>
            </a:p>
          </xdr:txBody>
        </xdr:sp>
      </mc:Choice>
      <mc:Fallback xmlns="">
        <xdr:sp macro="" textlink="">
          <xdr:nvSpPr>
            <xdr:cNvPr id="33" name="TextBox 32">
              <a:extLst>
                <a:ext uri="{FF2B5EF4-FFF2-40B4-BE49-F238E27FC236}">
                  <a16:creationId xmlns:a16="http://schemas.microsoft.com/office/drawing/2014/main" id="{B9B7AC4E-B8E2-18CD-5907-D5BB0561CB08}"/>
                </a:ext>
              </a:extLst>
            </xdr:cNvPr>
            <xdr:cNvSpPr txBox="1"/>
          </xdr:nvSpPr>
          <xdr:spPr>
            <a:xfrm>
              <a:off x="3537009" y="17415654"/>
              <a:ext cx="1423180" cy="39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000" b="0" i="0">
                  <a:latin typeface="Cambria Math" panose="02040503050406030204" pitchFamily="18" charset="0"/>
                </a:rPr>
                <a:t>𝑙_ℎ𝑏=(38.0𝑑_𝑏)/60.0  (𝑓_𝑦/√(〖𝑓^′〗_𝑐 ))   </a:t>
              </a:r>
              <a:endParaRPr lang="en-US" sz="1000"/>
            </a:p>
          </xdr:txBody>
        </xdr:sp>
      </mc:Fallback>
    </mc:AlternateContent>
    <xdr:clientData/>
  </xdr:oneCellAnchor>
  <xdr:oneCellAnchor>
    <xdr:from>
      <xdr:col>0</xdr:col>
      <xdr:colOff>230218</xdr:colOff>
      <xdr:row>101</xdr:row>
      <xdr:rowOff>171809</xdr:rowOff>
    </xdr:from>
    <xdr:ext cx="1335494" cy="3458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3C13CD5E-0438-C11C-EF09-86A32B45ECD2}"/>
                </a:ext>
              </a:extLst>
            </xdr:cNvPr>
            <xdr:cNvSpPr txBox="1"/>
          </xdr:nvSpPr>
          <xdr:spPr>
            <a:xfrm>
              <a:off x="230218" y="17487540"/>
              <a:ext cx="1335494" cy="34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b="0" i="1">
                            <a:latin typeface="Cambria Math" panose="02040503050406030204" pitchFamily="18" charset="0"/>
                          </a:rPr>
                        </m:ctrlPr>
                      </m:sSubPr>
                      <m:e>
                        <m:r>
                          <a:rPr lang="en-US" sz="1000" b="0" i="1">
                            <a:latin typeface="Cambria Math" panose="02040503050406030204" pitchFamily="18" charset="0"/>
                          </a:rPr>
                          <m:t>𝑙</m:t>
                        </m:r>
                      </m:e>
                      <m:sub>
                        <m:r>
                          <a:rPr lang="en-US" sz="1000" b="0" i="1">
                            <a:latin typeface="Cambria Math" panose="02040503050406030204" pitchFamily="18" charset="0"/>
                          </a:rPr>
                          <m:t>𝑑h</m:t>
                        </m:r>
                        <m:r>
                          <a:rPr lang="en-US" sz="1000" b="0" i="1">
                            <a:latin typeface="Cambria Math" panose="02040503050406030204" pitchFamily="18" charset="0"/>
                          </a:rPr>
                          <m:t> = </m:t>
                        </m:r>
                      </m:sub>
                    </m:sSub>
                    <m:sSub>
                      <m:sSubPr>
                        <m:ctrlPr>
                          <a:rPr lang="en-US" sz="1000" b="0" i="1">
                            <a:latin typeface="Cambria Math" panose="02040503050406030204" pitchFamily="18" charset="0"/>
                          </a:rPr>
                        </m:ctrlPr>
                      </m:sSubPr>
                      <m:e>
                        <m:r>
                          <a:rPr lang="en-US" sz="1000" b="0" i="1">
                            <a:latin typeface="Cambria Math" panose="02040503050406030204" pitchFamily="18" charset="0"/>
                          </a:rPr>
                          <m:t>𝑙</m:t>
                        </m:r>
                      </m:e>
                      <m:sub>
                        <m:r>
                          <a:rPr lang="en-US" sz="1000" b="0" i="1">
                            <a:latin typeface="Cambria Math" panose="02040503050406030204" pitchFamily="18" charset="0"/>
                          </a:rPr>
                          <m:t>h𝑏</m:t>
                        </m:r>
                      </m:sub>
                    </m:sSub>
                    <m:r>
                      <a:rPr lang="en-US" sz="1000" b="0" i="1">
                        <a:latin typeface="Cambria Math" panose="02040503050406030204" pitchFamily="18" charset="0"/>
                      </a:rPr>
                      <m:t> </m:t>
                    </m:r>
                    <m:r>
                      <a:rPr lang="en-US" sz="1000" b="0" i="1">
                        <a:latin typeface="Cambria Math" panose="02040503050406030204" pitchFamily="18" charset="0"/>
                        <a:ea typeface="Cambria Math" panose="02040503050406030204" pitchFamily="18" charset="0"/>
                      </a:rPr>
                      <m:t>×</m:t>
                    </m:r>
                    <m:d>
                      <m:dPr>
                        <m:ctrlPr>
                          <a:rPr lang="en-US" sz="1000" b="0" i="1">
                            <a:latin typeface="Cambria Math" panose="02040503050406030204" pitchFamily="18" charset="0"/>
                            <a:ea typeface="Cambria Math" panose="02040503050406030204" pitchFamily="18" charset="0"/>
                          </a:rPr>
                        </m:ctrlPr>
                      </m:dPr>
                      <m:e>
                        <m:f>
                          <m:fPr>
                            <m:ctrlPr>
                              <a:rPr lang="en-US" sz="1000" b="0" i="1">
                                <a:latin typeface="Cambria Math" panose="02040503050406030204" pitchFamily="18" charset="0"/>
                                <a:ea typeface="Cambria Math" panose="02040503050406030204" pitchFamily="18" charset="0"/>
                              </a:rPr>
                            </m:ctrlPr>
                          </m:fPr>
                          <m:num>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𝑟𝑐</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𝑐𝑤</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𝑒𝑟</m:t>
                                </m:r>
                              </m:sub>
                            </m:sSub>
                          </m:num>
                          <m:den>
                            <m:r>
                              <a:rPr lang="en-US" sz="1000" b="0" i="1">
                                <a:latin typeface="Cambria Math" panose="02040503050406030204" pitchFamily="18" charset="0"/>
                                <a:ea typeface="Cambria Math" panose="02040503050406030204" pitchFamily="18" charset="0"/>
                              </a:rPr>
                              <m:t>𝜆</m:t>
                            </m:r>
                          </m:den>
                        </m:f>
                      </m:e>
                    </m:d>
                  </m:oMath>
                </m:oMathPara>
              </a14:m>
              <a:endParaRPr lang="en-US" sz="1000"/>
            </a:p>
          </xdr:txBody>
        </xdr:sp>
      </mc:Choice>
      <mc:Fallback xmlns="">
        <xdr:sp macro="" textlink="">
          <xdr:nvSpPr>
            <xdr:cNvPr id="35" name="TextBox 34">
              <a:extLst>
                <a:ext uri="{FF2B5EF4-FFF2-40B4-BE49-F238E27FC236}">
                  <a16:creationId xmlns:a16="http://schemas.microsoft.com/office/drawing/2014/main" id="{3C13CD5E-0438-C11C-EF09-86A32B45ECD2}"/>
                </a:ext>
              </a:extLst>
            </xdr:cNvPr>
            <xdr:cNvSpPr txBox="1"/>
          </xdr:nvSpPr>
          <xdr:spPr>
            <a:xfrm>
              <a:off x="230218" y="17487540"/>
              <a:ext cx="1335494" cy="34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000" b="0" i="0">
                  <a:latin typeface="Cambria Math" panose="02040503050406030204" pitchFamily="18" charset="0"/>
                </a:rPr>
                <a:t>𝑙_(𝑑ℎ = ) 𝑙_ℎ𝑏  </a:t>
              </a:r>
              <a:r>
                <a:rPr lang="en-US" sz="1000" b="0" i="0">
                  <a:latin typeface="Cambria Math" panose="02040503050406030204" pitchFamily="18" charset="0"/>
                  <a:ea typeface="Cambria Math" panose="02040503050406030204" pitchFamily="18" charset="0"/>
                </a:rPr>
                <a:t>×((𝜆_𝑟𝑐 𝜆_𝑐𝑤 𝜆_𝑒𝑟)/𝜆)</a:t>
              </a:r>
              <a:endParaRPr lang="en-US" sz="1000"/>
            </a:p>
          </xdr:txBody>
        </xdr:sp>
      </mc:Fallback>
    </mc:AlternateContent>
    <xdr:clientData/>
  </xdr:oneCellAnchor>
  <xdr:oneCellAnchor>
    <xdr:from>
      <xdr:col>6</xdr:col>
      <xdr:colOff>68473</xdr:colOff>
      <xdr:row>98</xdr:row>
      <xdr:rowOff>90935</xdr:rowOff>
    </xdr:from>
    <xdr:ext cx="1112163" cy="397738"/>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83877BDE-4878-904A-DDAC-EB7D3FE3393F}"/>
                </a:ext>
              </a:extLst>
            </xdr:cNvPr>
            <xdr:cNvSpPr txBox="1"/>
          </xdr:nvSpPr>
          <xdr:spPr>
            <a:xfrm>
              <a:off x="3626869" y="16436194"/>
              <a:ext cx="1112163" cy="39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𝑙</m:t>
                        </m:r>
                      </m:e>
                      <m:sub>
                        <m:r>
                          <a:rPr lang="en-US" sz="1000" b="0" i="1">
                            <a:latin typeface="Cambria Math" panose="02040503050406030204" pitchFamily="18" charset="0"/>
                          </a:rPr>
                          <m:t>𝑑𝑏</m:t>
                        </m:r>
                      </m:sub>
                    </m:sSub>
                    <m:r>
                      <a:rPr lang="en-US" sz="1000" b="0" i="1">
                        <a:latin typeface="Cambria Math" panose="02040503050406030204" pitchFamily="18" charset="0"/>
                      </a:rPr>
                      <m:t>=2.4</m:t>
                    </m:r>
                    <m:sSub>
                      <m:sSubPr>
                        <m:ctrlPr>
                          <a:rPr lang="en-US" sz="1000" b="0" i="1">
                            <a:latin typeface="Cambria Math" panose="02040503050406030204" pitchFamily="18" charset="0"/>
                          </a:rPr>
                        </m:ctrlPr>
                      </m:sSubPr>
                      <m:e>
                        <m:r>
                          <a:rPr lang="en-US" sz="1000" b="0" i="1">
                            <a:latin typeface="Cambria Math" panose="02040503050406030204" pitchFamily="18" charset="0"/>
                          </a:rPr>
                          <m:t>𝑑</m:t>
                        </m:r>
                      </m:e>
                      <m:sub>
                        <m:r>
                          <a:rPr lang="en-US" sz="1000" b="0" i="1">
                            <a:latin typeface="Cambria Math" panose="02040503050406030204" pitchFamily="18" charset="0"/>
                          </a:rPr>
                          <m:t>𝑏</m:t>
                        </m:r>
                      </m:sub>
                    </m:sSub>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num>
                          <m:den>
                            <m:rad>
                              <m:radPr>
                                <m:degHide m:val="on"/>
                                <m:ctrlPr>
                                  <a:rPr lang="en-US" sz="1000" b="0" i="1">
                                    <a:latin typeface="Cambria Math" panose="02040503050406030204" pitchFamily="18" charset="0"/>
                                  </a:rPr>
                                </m:ctrlPr>
                              </m:radPr>
                              <m:deg/>
                              <m:e>
                                <m:sSub>
                                  <m:sSubPr>
                                    <m:ctrlPr>
                                      <a:rPr lang="en-US" sz="1000" b="0" i="1">
                                        <a:latin typeface="Cambria Math" panose="02040503050406030204" pitchFamily="18" charset="0"/>
                                      </a:rPr>
                                    </m:ctrlPr>
                                  </m:sSubPr>
                                  <m:e>
                                    <m:sSup>
                                      <m:sSupPr>
                                        <m:ctrlPr>
                                          <a:rPr lang="en-US" sz="1000" b="0" i="1">
                                            <a:latin typeface="Cambria Math" panose="02040503050406030204" pitchFamily="18" charset="0"/>
                                          </a:rPr>
                                        </m:ctrlPr>
                                      </m:sSupPr>
                                      <m:e>
                                        <m:r>
                                          <a:rPr lang="en-US" sz="1000" b="0" i="1">
                                            <a:latin typeface="Cambria Math" panose="02040503050406030204" pitchFamily="18" charset="0"/>
                                          </a:rPr>
                                          <m:t>𝑓</m:t>
                                        </m:r>
                                      </m:e>
                                      <m:sup>
                                        <m:r>
                                          <a:rPr lang="en-US" sz="1000" b="0" i="1">
                                            <a:latin typeface="Cambria Math" panose="02040503050406030204" pitchFamily="18" charset="0"/>
                                          </a:rPr>
                                          <m:t>′</m:t>
                                        </m:r>
                                      </m:sup>
                                    </m:sSup>
                                  </m:e>
                                  <m:sub>
                                    <m:r>
                                      <a:rPr lang="en-US" sz="1000" b="0" i="1">
                                        <a:latin typeface="Cambria Math" panose="02040503050406030204" pitchFamily="18" charset="0"/>
                                      </a:rPr>
                                      <m:t>𝑐</m:t>
                                    </m:r>
                                  </m:sub>
                                </m:sSub>
                              </m:e>
                            </m:rad>
                          </m:den>
                        </m:f>
                      </m:e>
                    </m:d>
                  </m:oMath>
                </m:oMathPara>
              </a14:m>
              <a:endParaRPr lang="en-US" sz="1000"/>
            </a:p>
          </xdr:txBody>
        </xdr:sp>
      </mc:Choice>
      <mc:Fallback xmlns="">
        <xdr:sp macro="" textlink="">
          <xdr:nvSpPr>
            <xdr:cNvPr id="36" name="TextBox 35">
              <a:extLst>
                <a:ext uri="{FF2B5EF4-FFF2-40B4-BE49-F238E27FC236}">
                  <a16:creationId xmlns:a16="http://schemas.microsoft.com/office/drawing/2014/main" id="{83877BDE-4878-904A-DDAC-EB7D3FE3393F}"/>
                </a:ext>
              </a:extLst>
            </xdr:cNvPr>
            <xdr:cNvSpPr txBox="1"/>
          </xdr:nvSpPr>
          <xdr:spPr>
            <a:xfrm>
              <a:off x="3626869" y="16436194"/>
              <a:ext cx="1112163" cy="39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000" b="0" i="0">
                  <a:latin typeface="Cambria Math" panose="02040503050406030204" pitchFamily="18" charset="0"/>
                </a:rPr>
                <a:t>𝑙_𝑑𝑏=2.4𝑑_𝑏 (𝑓_𝑦/√(〖𝑓^′〗_𝑐 ))</a:t>
              </a:r>
              <a:endParaRPr lang="en-US" sz="1000"/>
            </a:p>
          </xdr:txBody>
        </xdr:sp>
      </mc:Fallback>
    </mc:AlternateContent>
    <xdr:clientData/>
  </xdr:oneCellAnchor>
  <xdr:oneCellAnchor>
    <xdr:from>
      <xdr:col>0</xdr:col>
      <xdr:colOff>194275</xdr:colOff>
      <xdr:row>98</xdr:row>
      <xdr:rowOff>126880</xdr:rowOff>
    </xdr:from>
    <xdr:ext cx="1593910" cy="34580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A910EBD9-1DD6-57B5-33BD-6324638C8A2F}"/>
                </a:ext>
              </a:extLst>
            </xdr:cNvPr>
            <xdr:cNvSpPr txBox="1"/>
          </xdr:nvSpPr>
          <xdr:spPr>
            <a:xfrm>
              <a:off x="194275" y="16472139"/>
              <a:ext cx="1593910" cy="34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𝑙</m:t>
                        </m:r>
                      </m:e>
                      <m:sub>
                        <m:r>
                          <a:rPr lang="en-US" sz="1000" b="0" i="1">
                            <a:latin typeface="Cambria Math" panose="02040503050406030204" pitchFamily="18" charset="0"/>
                          </a:rPr>
                          <m:t>𝑑</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𝑙</m:t>
                        </m:r>
                      </m:e>
                      <m:sub>
                        <m:r>
                          <a:rPr lang="en-US" sz="1000" b="0" i="1">
                            <a:latin typeface="Cambria Math" panose="02040503050406030204" pitchFamily="18" charset="0"/>
                          </a:rPr>
                          <m:t>𝑑𝑏</m:t>
                        </m:r>
                      </m:sub>
                    </m:sSub>
                    <m:r>
                      <a:rPr lang="en-US" sz="1000" b="0" i="1">
                        <a:latin typeface="Cambria Math" panose="02040503050406030204" pitchFamily="18" charset="0"/>
                      </a:rPr>
                      <m:t> </m:t>
                    </m:r>
                    <m:r>
                      <a:rPr lang="en-US" sz="1000" b="0" i="1">
                        <a:latin typeface="Cambria Math" panose="02040503050406030204" pitchFamily="18" charset="0"/>
                        <a:ea typeface="Cambria Math" panose="02040503050406030204" pitchFamily="18" charset="0"/>
                      </a:rPr>
                      <m:t>×</m:t>
                    </m:r>
                    <m:d>
                      <m:dPr>
                        <m:ctrlPr>
                          <a:rPr lang="en-US" sz="1000" b="0" i="1">
                            <a:latin typeface="Cambria Math" panose="02040503050406030204" pitchFamily="18" charset="0"/>
                            <a:ea typeface="Cambria Math" panose="02040503050406030204" pitchFamily="18" charset="0"/>
                          </a:rPr>
                        </m:ctrlPr>
                      </m:dPr>
                      <m:e>
                        <m:f>
                          <m:fPr>
                            <m:ctrlPr>
                              <a:rPr lang="en-US" sz="1000" b="0" i="1">
                                <a:latin typeface="Cambria Math" panose="02040503050406030204" pitchFamily="18" charset="0"/>
                                <a:ea typeface="Cambria Math" panose="02040503050406030204" pitchFamily="18" charset="0"/>
                              </a:rPr>
                            </m:ctrlPr>
                          </m:fPr>
                          <m:num>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𝑟𝑙</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𝑐𝑓</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𝑟𝑐</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𝜆</m:t>
                                </m:r>
                              </m:e>
                              <m:sub>
                                <m:r>
                                  <a:rPr lang="en-US" sz="1000" b="0" i="1">
                                    <a:latin typeface="Cambria Math" panose="02040503050406030204" pitchFamily="18" charset="0"/>
                                    <a:ea typeface="Cambria Math" panose="02040503050406030204" pitchFamily="18" charset="0"/>
                                  </a:rPr>
                                  <m:t>𝑒𝑟</m:t>
                                </m:r>
                              </m:sub>
                            </m:sSub>
                          </m:num>
                          <m:den>
                            <m:r>
                              <a:rPr lang="en-US" sz="1000" b="0" i="1">
                                <a:latin typeface="Cambria Math" panose="02040503050406030204" pitchFamily="18" charset="0"/>
                                <a:ea typeface="Cambria Math" panose="02040503050406030204" pitchFamily="18" charset="0"/>
                              </a:rPr>
                              <m:t>𝜆</m:t>
                            </m:r>
                          </m:den>
                        </m:f>
                      </m:e>
                    </m:d>
                  </m:oMath>
                </m:oMathPara>
              </a14:m>
              <a:endParaRPr lang="en-US" sz="1000"/>
            </a:p>
          </xdr:txBody>
        </xdr:sp>
      </mc:Choice>
      <mc:Fallback xmlns="">
        <xdr:sp macro="" textlink="">
          <xdr:nvSpPr>
            <xdr:cNvPr id="38" name="TextBox 37">
              <a:extLst>
                <a:ext uri="{FF2B5EF4-FFF2-40B4-BE49-F238E27FC236}">
                  <a16:creationId xmlns:a16="http://schemas.microsoft.com/office/drawing/2014/main" id="{A910EBD9-1DD6-57B5-33BD-6324638C8A2F}"/>
                </a:ext>
              </a:extLst>
            </xdr:cNvPr>
            <xdr:cNvSpPr txBox="1"/>
          </xdr:nvSpPr>
          <xdr:spPr>
            <a:xfrm>
              <a:off x="194275" y="16472139"/>
              <a:ext cx="1593910" cy="34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000" b="0" i="0">
                  <a:latin typeface="Cambria Math" panose="02040503050406030204" pitchFamily="18" charset="0"/>
                </a:rPr>
                <a:t>𝑙_𝑑=𝑙_𝑑𝑏  </a:t>
              </a:r>
              <a:r>
                <a:rPr lang="en-US" sz="1000" b="0" i="0">
                  <a:latin typeface="Cambria Math" panose="02040503050406030204" pitchFamily="18" charset="0"/>
                  <a:ea typeface="Cambria Math" panose="02040503050406030204" pitchFamily="18" charset="0"/>
                </a:rPr>
                <a:t>×((𝜆_𝑟𝑙 𝜆_𝑐𝑓 𝜆_𝑟𝑐 𝜆_𝑒𝑟)/𝜆)</a:t>
              </a:r>
              <a:endParaRPr lang="en-US" sz="10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210275</xdr:colOff>
      <xdr:row>51</xdr:row>
      <xdr:rowOff>41413</xdr:rowOff>
    </xdr:from>
    <xdr:to>
      <xdr:col>3</xdr:col>
      <xdr:colOff>496067</xdr:colOff>
      <xdr:row>53</xdr:row>
      <xdr:rowOff>93581</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9268629C-7882-408A-818C-D40223EC10E5}"/>
                </a:ext>
              </a:extLst>
            </xdr:cNvPr>
            <xdr:cNvSpPr txBox="1"/>
          </xdr:nvSpPr>
          <xdr:spPr>
            <a:xfrm>
              <a:off x="210275" y="8009283"/>
              <a:ext cx="1784944" cy="35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𝑎</m:t>
                            </m:r>
                          </m:num>
                          <m:den>
                            <m:r>
                              <a:rPr lang="en-US" sz="1000" b="0" i="1">
                                <a:latin typeface="Cambria Math" panose="02040503050406030204" pitchFamily="18" charset="0"/>
                                <a:ea typeface="Cambria Math" panose="02040503050406030204" pitchFamily="18" charset="0"/>
                              </a:rPr>
                              <m:t>2</m:t>
                            </m:r>
                          </m:den>
                        </m:f>
                      </m:e>
                    </m:d>
                  </m:oMath>
                </m:oMathPara>
              </a14:m>
              <a:endParaRPr lang="en-US" sz="1000"/>
            </a:p>
          </xdr:txBody>
        </xdr:sp>
      </mc:Choice>
      <mc:Fallback xmlns="">
        <xdr:sp macro="" textlink="">
          <xdr:nvSpPr>
            <xdr:cNvPr id="5" name="TextBox 4">
              <a:extLst>
                <a:ext uri="{FF2B5EF4-FFF2-40B4-BE49-F238E27FC236}">
                  <a16:creationId xmlns:a16="http://schemas.microsoft.com/office/drawing/2014/main" id="{9268629C-7882-408A-818C-D40223EC10E5}"/>
                </a:ext>
              </a:extLst>
            </xdr:cNvPr>
            <xdr:cNvSpPr txBox="1"/>
          </xdr:nvSpPr>
          <xdr:spPr>
            <a:xfrm>
              <a:off x="210275" y="8009283"/>
              <a:ext cx="1784944" cy="35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i="0">
                  <a:latin typeface="Cambria Math" panose="02040503050406030204" pitchFamily="18" charset="0"/>
                  <a:ea typeface="Cambria Math" panose="02040503050406030204" pitchFamily="18" charset="0"/>
                </a:rPr>
                <a:t>〖𝜑</a:t>
              </a:r>
              <a:r>
                <a:rPr lang="en-US" sz="1000" b="0" i="0">
                  <a:latin typeface="Cambria Math" panose="02040503050406030204" pitchFamily="18" charset="0"/>
                  <a:ea typeface="Cambria Math" panose="02040503050406030204" pitchFamily="18" charset="0"/>
                </a:rPr>
                <a:t>𝑀〗_𝑛=〖𝜑𝐴〗_𝑆 𝑓_𝑦 (𝑑_𝑆−𝑎/2)</a:t>
              </a:r>
              <a:endParaRPr lang="en-US" sz="1000"/>
            </a:p>
          </xdr:txBody>
        </xdr:sp>
      </mc:Fallback>
    </mc:AlternateContent>
    <xdr:clientData/>
  </xdr:twoCellAnchor>
  <xdr:twoCellAnchor editAs="oneCell">
    <xdr:from>
      <xdr:col>4</xdr:col>
      <xdr:colOff>25448</xdr:colOff>
      <xdr:row>51</xdr:row>
      <xdr:rowOff>46082</xdr:rowOff>
    </xdr:from>
    <xdr:to>
      <xdr:col>6</xdr:col>
      <xdr:colOff>101203</xdr:colOff>
      <xdr:row>53</xdr:row>
      <xdr:rowOff>98252</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C0410D57-62B5-40AF-9D4B-831302203333}"/>
                </a:ext>
              </a:extLst>
            </xdr:cNvPr>
            <xdr:cNvSpPr txBox="1"/>
          </xdr:nvSpPr>
          <xdr:spPr>
            <a:xfrm>
              <a:off x="2046405" y="8013952"/>
              <a:ext cx="1086234" cy="350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𝐶</m:t>
                        </m:r>
                      </m:sub>
                    </m:sSub>
                    <m:r>
                      <a:rPr lang="en-US" sz="1000" b="0" i="1">
                        <a:latin typeface="Cambria Math" panose="02040503050406030204" pitchFamily="18" charset="0"/>
                        <a:ea typeface="Cambria Math" panose="02040503050406030204" pitchFamily="18" charset="0"/>
                      </a:rPr>
                      <m:t>=</m:t>
                    </m:r>
                    <m:nary>
                      <m:naryPr>
                        <m:chr m:val="∑"/>
                        <m:limLoc m:val="subSup"/>
                        <m:ctrlPr>
                          <a:rPr lang="en-US" sz="1000" b="0" i="1">
                            <a:latin typeface="Cambria Math" panose="02040503050406030204" pitchFamily="18" charset="0"/>
                            <a:ea typeface="Cambria Math" panose="02040503050406030204" pitchFamily="18" charset="0"/>
                          </a:rPr>
                        </m:ctrlPr>
                      </m:naryPr>
                      <m:sub>
                        <m:r>
                          <m:rPr>
                            <m:brk m:alnAt="25"/>
                          </m:rPr>
                          <a:rPr lang="en-US" sz="1000" b="0" i="1">
                            <a:latin typeface="Cambria Math" panose="02040503050406030204" pitchFamily="18" charset="0"/>
                            <a:ea typeface="Cambria Math" panose="02040503050406030204" pitchFamily="18" charset="0"/>
                          </a:rPr>
                          <m:t>1</m:t>
                        </m:r>
                      </m:sub>
                      <m:sup>
                        <m:r>
                          <a:rPr lang="en-US" sz="1000" b="0" i="1">
                            <a:latin typeface="Cambria Math" panose="02040503050406030204" pitchFamily="18" charset="0"/>
                            <a:ea typeface="Cambria Math" panose="02040503050406030204" pitchFamily="18" charset="0"/>
                          </a:rPr>
                          <m:t>𝑛</m:t>
                        </m:r>
                      </m:sup>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e>
                    </m:nary>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m:rPr>
                            <m:sty m:val="p"/>
                          </m:rPr>
                          <a:rPr lang="en-US" sz="1000" b="0" i="0">
                            <a:latin typeface="Cambria Math" panose="02040503050406030204" pitchFamily="18" charset="0"/>
                            <a:ea typeface="Cambria Math" panose="02040503050406030204" pitchFamily="18" charset="0"/>
                          </a:rPr>
                          <m:t>b</m:t>
                        </m:r>
                      </m:e>
                      <m:sub>
                        <m:r>
                          <m:rPr>
                            <m:sty m:val="p"/>
                          </m:rPr>
                          <a:rPr lang="en-US" sz="1000" b="0" i="0">
                            <a:latin typeface="Cambria Math" panose="02040503050406030204" pitchFamily="18" charset="0"/>
                            <a:ea typeface="Cambria Math" panose="02040503050406030204" pitchFamily="18" charset="0"/>
                          </a:rPr>
                          <m:t>c</m:t>
                        </m:r>
                      </m:sub>
                    </m:sSub>
                  </m:oMath>
                </m:oMathPara>
              </a14:m>
              <a:endParaRPr lang="en-US" sz="1000"/>
            </a:p>
          </xdr:txBody>
        </xdr:sp>
      </mc:Choice>
      <mc:Fallback xmlns="">
        <xdr:sp macro="" textlink="">
          <xdr:nvSpPr>
            <xdr:cNvPr id="6" name="TextBox 5">
              <a:extLst>
                <a:ext uri="{FF2B5EF4-FFF2-40B4-BE49-F238E27FC236}">
                  <a16:creationId xmlns:a16="http://schemas.microsoft.com/office/drawing/2014/main" id="{C0410D57-62B5-40AF-9D4B-831302203333}"/>
                </a:ext>
              </a:extLst>
            </xdr:cNvPr>
            <xdr:cNvSpPr txBox="1"/>
          </xdr:nvSpPr>
          <xdr:spPr>
            <a:xfrm>
              <a:off x="2046405" y="8013952"/>
              <a:ext cx="1086234" cy="350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ea typeface="Cambria Math" panose="02040503050406030204" pitchFamily="18" charset="0"/>
                </a:rPr>
                <a:t>𝑀_𝐶=∑2_1^𝑛▒〖𝜑𝑀〗_𝑛 /b_c</a:t>
              </a:r>
              <a:endParaRPr lang="en-US" sz="1000"/>
            </a:p>
          </xdr:txBody>
        </xdr:sp>
      </mc:Fallback>
    </mc:AlternateContent>
    <xdr:clientData/>
  </xdr:twoCellAnchor>
  <xdr:oneCellAnchor>
    <xdr:from>
      <xdr:col>0</xdr:col>
      <xdr:colOff>224118</xdr:colOff>
      <xdr:row>100</xdr:row>
      <xdr:rowOff>112058</xdr:rowOff>
    </xdr:from>
    <xdr:ext cx="2484077" cy="49695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CF7B817A-6876-4949-9520-14A753BF56DB}"/>
                </a:ext>
              </a:extLst>
            </xdr:cNvPr>
            <xdr:cNvSpPr txBox="1"/>
          </xdr:nvSpPr>
          <xdr:spPr>
            <a:xfrm>
              <a:off x="224118" y="10237133"/>
              <a:ext cx="2484077" cy="496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𝑅</m:t>
                        </m:r>
                      </m:e>
                      <m:sub>
                        <m:r>
                          <a:rPr lang="en-US" sz="1000" b="0" i="1">
                            <a:latin typeface="Cambria Math" panose="02040503050406030204" pitchFamily="18" charset="0"/>
                          </a:rPr>
                          <m:t>𝑊</m:t>
                        </m:r>
                      </m:sub>
                    </m:sSub>
                    <m:r>
                      <a:rPr lang="en-US" sz="1000" b="0" i="1">
                        <a:latin typeface="Cambria Math" panose="02040503050406030204" pitchFamily="18" charset="0"/>
                      </a:rPr>
                      <m:t>=</m:t>
                    </m:r>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r>
                              <a:rPr lang="en-US" sz="1000" b="0" i="1">
                                <a:latin typeface="Cambria Math" panose="02040503050406030204" pitchFamily="18" charset="0"/>
                              </a:rPr>
                              <m:t>2</m:t>
                            </m:r>
                          </m:num>
                          <m:den>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den>
                        </m:f>
                      </m:e>
                    </m:d>
                    <m:d>
                      <m:dPr>
                        <m:ctrlPr>
                          <a:rPr lang="en-US" sz="1000" b="0" i="1">
                            <a:latin typeface="Cambria Math" panose="02040503050406030204" pitchFamily="18" charset="0"/>
                          </a:rPr>
                        </m:ctrlPr>
                      </m:dPr>
                      <m:e>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𝑏</m:t>
                            </m:r>
                          </m:sub>
                        </m:sSub>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𝑊</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𝐶</m:t>
                                </m:r>
                              </m:sub>
                            </m:sSub>
                            <m:sSubSup>
                              <m:sSubSupPr>
                                <m:ctrlPr>
                                  <a:rPr lang="en-US" sz="1000" b="0" i="1">
                                    <a:latin typeface="Cambria Math" panose="02040503050406030204" pitchFamily="18" charset="0"/>
                                  </a:rPr>
                                </m:ctrlPr>
                              </m:sSubSupPr>
                              <m:e>
                                <m:r>
                                  <a:rPr lang="en-US" sz="1000" b="0" i="1">
                                    <a:latin typeface="Cambria Math" panose="02040503050406030204" pitchFamily="18" charset="0"/>
                                  </a:rPr>
                                  <m:t>𝐿</m:t>
                                </m:r>
                              </m:e>
                              <m:sub>
                                <m:r>
                                  <a:rPr lang="en-US" sz="1000" b="0" i="1">
                                    <a:latin typeface="Cambria Math" panose="02040503050406030204" pitchFamily="18" charset="0"/>
                                  </a:rPr>
                                  <m:t>𝐶</m:t>
                                </m:r>
                              </m:sub>
                              <m:sup>
                                <m:r>
                                  <a:rPr lang="en-US" sz="1000" b="0" i="1">
                                    <a:latin typeface="Cambria Math" panose="02040503050406030204" pitchFamily="18" charset="0"/>
                                  </a:rPr>
                                  <m:t>2</m:t>
                                </m:r>
                              </m:sup>
                            </m:sSubSup>
                          </m:num>
                          <m:den>
                            <m:r>
                              <a:rPr lang="en-US" sz="1000" b="0" i="1">
                                <a:latin typeface="Cambria Math" panose="02040503050406030204" pitchFamily="18" charset="0"/>
                              </a:rPr>
                              <m:t>𝐻</m:t>
                            </m:r>
                          </m:den>
                        </m:f>
                      </m:e>
                    </m:d>
                  </m:oMath>
                </m:oMathPara>
              </a14:m>
              <a:endParaRPr lang="en-US" sz="1100"/>
            </a:p>
          </xdr:txBody>
        </xdr:sp>
      </mc:Choice>
      <mc:Fallback xmlns="">
        <xdr:sp macro="" textlink="">
          <xdr:nvSpPr>
            <xdr:cNvPr id="7" name="TextBox 6">
              <a:extLst>
                <a:ext uri="{FF2B5EF4-FFF2-40B4-BE49-F238E27FC236}">
                  <a16:creationId xmlns:a16="http://schemas.microsoft.com/office/drawing/2014/main" id="{CF7B817A-6876-4949-9520-14A753BF56DB}"/>
                </a:ext>
              </a:extLst>
            </xdr:cNvPr>
            <xdr:cNvSpPr txBox="1"/>
          </xdr:nvSpPr>
          <xdr:spPr>
            <a:xfrm>
              <a:off x="224118" y="10237133"/>
              <a:ext cx="2484077" cy="496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𝑅_𝑊=(2/(2𝐿_𝐶−𝐿_𝑡 ))(8𝑀_𝑏+8𝑀_𝑊+(𝑀_𝐶 𝐿_𝐶^2)/𝐻)</a:t>
              </a:r>
              <a:endParaRPr lang="en-US" sz="1100"/>
            </a:p>
          </xdr:txBody>
        </xdr:sp>
      </mc:Fallback>
    </mc:AlternateContent>
    <xdr:clientData/>
  </xdr:oneCellAnchor>
  <xdr:oneCellAnchor>
    <xdr:from>
      <xdr:col>0</xdr:col>
      <xdr:colOff>256802</xdr:colOff>
      <xdr:row>103</xdr:row>
      <xdr:rowOff>102720</xdr:rowOff>
    </xdr:from>
    <xdr:ext cx="2020956" cy="49695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F2BA4536-CB56-4D4D-B476-806418208E05}"/>
                </a:ext>
              </a:extLst>
            </xdr:cNvPr>
            <xdr:cNvSpPr txBox="1"/>
          </xdr:nvSpPr>
          <xdr:spPr>
            <a:xfrm>
              <a:off x="256802" y="10656420"/>
              <a:ext cx="2020956" cy="496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num>
                      <m:den>
                        <m:r>
                          <a:rPr lang="en-US" sz="1000" b="0" i="1">
                            <a:latin typeface="Cambria Math" panose="02040503050406030204" pitchFamily="18" charset="0"/>
                          </a:rPr>
                          <m:t>2</m:t>
                        </m:r>
                      </m:den>
                    </m:f>
                    <m:r>
                      <a:rPr lang="en-US" sz="1000" b="0" i="1">
                        <a:latin typeface="Cambria Math" panose="02040503050406030204" pitchFamily="18" charset="0"/>
                      </a:rPr>
                      <m:t>+</m:t>
                    </m:r>
                    <m:rad>
                      <m:radPr>
                        <m:degHide m:val="on"/>
                        <m:ctrlPr>
                          <a:rPr lang="en-US" sz="1000" b="0" i="1">
                            <a:latin typeface="Cambria Math" panose="02040503050406030204" pitchFamily="18" charset="0"/>
                          </a:rPr>
                        </m:ctrlPr>
                      </m:radPr>
                      <m:deg/>
                      <m:e>
                        <m:sSup>
                          <m:sSupPr>
                            <m:ctrlPr>
                              <a:rPr lang="en-US" sz="1000" b="0" i="1">
                                <a:latin typeface="Cambria Math" panose="02040503050406030204" pitchFamily="18" charset="0"/>
                              </a:rPr>
                            </m:ctrlPr>
                          </m:sSupPr>
                          <m:e>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num>
                                  <m:den>
                                    <m:r>
                                      <a:rPr lang="en-US" sz="1000" b="0" i="1">
                                        <a:latin typeface="Cambria Math" panose="02040503050406030204" pitchFamily="18" charset="0"/>
                                      </a:rPr>
                                      <m:t>2</m:t>
                                    </m:r>
                                  </m:den>
                                </m:f>
                              </m:e>
                            </m:d>
                          </m:e>
                          <m:sup>
                            <m:r>
                              <a:rPr lang="en-US" sz="1000" b="0" i="1">
                                <a:latin typeface="Cambria Math" panose="02040503050406030204" pitchFamily="18" charset="0"/>
                              </a:rPr>
                              <m:t>2</m:t>
                            </m:r>
                          </m:sup>
                        </m:sSup>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8</m:t>
                            </m:r>
                            <m:r>
                              <a:rPr lang="en-US" sz="1000" b="0" i="1">
                                <a:latin typeface="Cambria Math" panose="02040503050406030204" pitchFamily="18" charset="0"/>
                              </a:rPr>
                              <m:t>𝐻</m:t>
                            </m:r>
                            <m:d>
                              <m:dPr>
                                <m:ctrlPr>
                                  <a:rPr lang="en-US" sz="1000" b="0" i="1">
                                    <a:latin typeface="Cambria Math" panose="02040503050406030204" pitchFamily="18" charset="0"/>
                                  </a:rPr>
                                </m:ctrlPr>
                              </m:dPr>
                              <m:e>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𝑏</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𝑊</m:t>
                                    </m:r>
                                  </m:sub>
                                </m:sSub>
                              </m:e>
                            </m:d>
                          </m:num>
                          <m:den>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𝐶</m:t>
                                </m:r>
                              </m:sub>
                            </m:sSub>
                          </m:den>
                        </m:f>
                      </m:e>
                    </m:rad>
                  </m:oMath>
                </m:oMathPara>
              </a14:m>
              <a:endParaRPr lang="en-US" sz="1000"/>
            </a:p>
          </xdr:txBody>
        </xdr:sp>
      </mc:Choice>
      <mc:Fallback xmlns="">
        <xdr:sp macro="" textlink="">
          <xdr:nvSpPr>
            <xdr:cNvPr id="8" name="TextBox 7">
              <a:extLst>
                <a:ext uri="{FF2B5EF4-FFF2-40B4-BE49-F238E27FC236}">
                  <a16:creationId xmlns:a16="http://schemas.microsoft.com/office/drawing/2014/main" id="{F2BA4536-CB56-4D4D-B476-806418208E05}"/>
                </a:ext>
              </a:extLst>
            </xdr:cNvPr>
            <xdr:cNvSpPr txBox="1"/>
          </xdr:nvSpPr>
          <xdr:spPr>
            <a:xfrm>
              <a:off x="256802" y="10656420"/>
              <a:ext cx="2020956" cy="496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𝐿_𝐶=𝐿_𝑡/2+√((𝐿_𝑡/2)^2+8𝐻(𝑀_𝑏+𝑀_𝑊 )/𝑀_𝐶 )</a:t>
              </a:r>
              <a:endParaRPr lang="en-US" sz="1000"/>
            </a:p>
          </xdr:txBody>
        </xdr:sp>
      </mc:Fallback>
    </mc:AlternateContent>
    <xdr:clientData/>
  </xdr:oneCellAnchor>
  <xdr:oneCellAnchor>
    <xdr:from>
      <xdr:col>2</xdr:col>
      <xdr:colOff>502253</xdr:colOff>
      <xdr:row>127</xdr:row>
      <xdr:rowOff>6034</xdr:rowOff>
    </xdr:from>
    <xdr:ext cx="1515717" cy="3810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B2039C4A-3567-413B-A44C-4CCD79CD3307}"/>
                </a:ext>
              </a:extLst>
            </xdr:cNvPr>
            <xdr:cNvSpPr txBox="1"/>
          </xdr:nvSpPr>
          <xdr:spPr>
            <a:xfrm>
              <a:off x="1513368" y="15407226"/>
              <a:ext cx="1515717"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r"/>
              <a14:m>
                <m:oMathPara xmlns:m="http://schemas.openxmlformats.org/officeDocument/2006/math">
                  <m:oMathParaPr>
                    <m:jc m:val="righ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𝑣𝑓</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0.05</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𝑐𝑣</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den>
                    </m:f>
                    <m:r>
                      <a:rPr lang="en-US" sz="1000" b="0" i="1">
                        <a:latin typeface="Cambria Math" panose="02040503050406030204" pitchFamily="18" charset="0"/>
                      </a:rPr>
                      <m:t>=</m:t>
                    </m:r>
                  </m:oMath>
                </m:oMathPara>
              </a14:m>
              <a:endParaRPr lang="en-US" sz="1100"/>
            </a:p>
          </xdr:txBody>
        </xdr:sp>
      </mc:Choice>
      <mc:Fallback xmlns="">
        <xdr:sp macro="" textlink="">
          <xdr:nvSpPr>
            <xdr:cNvPr id="9" name="TextBox 8">
              <a:extLst>
                <a:ext uri="{FF2B5EF4-FFF2-40B4-BE49-F238E27FC236}">
                  <a16:creationId xmlns:a16="http://schemas.microsoft.com/office/drawing/2014/main" id="{B2039C4A-3567-413B-A44C-4CCD79CD3307}"/>
                </a:ext>
              </a:extLst>
            </xdr:cNvPr>
            <xdr:cNvSpPr txBox="1"/>
          </xdr:nvSpPr>
          <xdr:spPr>
            <a:xfrm>
              <a:off x="1513368" y="15407226"/>
              <a:ext cx="1515717"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r"/>
              <a:r>
                <a:rPr lang="en-US" sz="1000" b="0" i="0">
                  <a:latin typeface="Cambria Math" panose="02040503050406030204" pitchFamily="18" charset="0"/>
                </a:rPr>
                <a:t>𝐶ℎ𝑒𝑐𝑘       𝐴_𝑣𝑓</a:t>
              </a:r>
              <a:r>
                <a:rPr lang="en-US" sz="1000" b="0" i="0">
                  <a:latin typeface="Cambria Math" panose="02040503050406030204" pitchFamily="18" charset="0"/>
                  <a:ea typeface="Cambria Math" panose="02040503050406030204" pitchFamily="18" charset="0"/>
                </a:rPr>
                <a:t>≥</a:t>
              </a:r>
              <a:r>
                <a:rPr lang="en-US" sz="1000" b="0" i="0">
                  <a:latin typeface="Cambria Math" panose="02040503050406030204" pitchFamily="18" charset="0"/>
                </a:rPr>
                <a:t>(0.05𝐴_𝑐𝑣)/𝑓_𝑦 =</a:t>
              </a:r>
              <a:endParaRPr lang="en-US" sz="1100"/>
            </a:p>
          </xdr:txBody>
        </xdr:sp>
      </mc:Fallback>
    </mc:AlternateContent>
    <xdr:clientData/>
  </xdr:oneCellAnchor>
  <xdr:twoCellAnchor editAs="oneCell">
    <xdr:from>
      <xdr:col>1</xdr:col>
      <xdr:colOff>18676</xdr:colOff>
      <xdr:row>137</xdr:row>
      <xdr:rowOff>65367</xdr:rowOff>
    </xdr:from>
    <xdr:to>
      <xdr:col>1</xdr:col>
      <xdr:colOff>200895</xdr:colOff>
      <xdr:row>141</xdr:row>
      <xdr:rowOff>24940</xdr:rowOff>
    </xdr:to>
    <xdr:sp macro="" textlink="">
      <xdr:nvSpPr>
        <xdr:cNvPr id="10" name="Left Brace 9">
          <a:extLst>
            <a:ext uri="{FF2B5EF4-FFF2-40B4-BE49-F238E27FC236}">
              <a16:creationId xmlns:a16="http://schemas.microsoft.com/office/drawing/2014/main" id="{AB282281-8BD6-4B57-B0AD-90AF4ECD5CA5}"/>
            </a:ext>
          </a:extLst>
        </xdr:cNvPr>
        <xdr:cNvSpPr/>
      </xdr:nvSpPr>
      <xdr:spPr>
        <a:xfrm>
          <a:off x="523501" y="15562542"/>
          <a:ext cx="182219" cy="596553"/>
        </a:xfrm>
        <a:prstGeom prst="leftBrace">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364191</xdr:colOff>
      <xdr:row>137</xdr:row>
      <xdr:rowOff>135404</xdr:rowOff>
    </xdr:from>
    <xdr:to>
      <xdr:col>2</xdr:col>
      <xdr:colOff>478353</xdr:colOff>
      <xdr:row>138</xdr:row>
      <xdr:rowOff>133405</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FE43F054-9B7F-4285-A156-C6C7810F6278}"/>
                </a:ext>
              </a:extLst>
            </xdr:cNvPr>
            <xdr:cNvSpPr txBox="1"/>
          </xdr:nvSpPr>
          <xdr:spPr>
            <a:xfrm>
              <a:off x="869016" y="15632579"/>
              <a:ext cx="618987" cy="152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𝐾</m:t>
                        </m:r>
                      </m:e>
                      <m:sub>
                        <m:r>
                          <a:rPr lang="en-US" sz="1000" b="0" i="1">
                            <a:latin typeface="Cambria Math" panose="02040503050406030204" pitchFamily="18" charset="0"/>
                            <a:ea typeface="Cambria Math" panose="02040503050406030204" pitchFamily="18" charset="0"/>
                          </a:rPr>
                          <m:t>1</m:t>
                        </m:r>
                      </m:sub>
                    </m:sSub>
                    <m:sSubSup>
                      <m:sSubSupPr>
                        <m:ctrlPr>
                          <a:rPr lang="en-US" sz="1000" i="1">
                            <a:latin typeface="Cambria Math" panose="02040503050406030204" pitchFamily="18" charset="0"/>
                            <a:ea typeface="Cambria Math" panose="02040503050406030204" pitchFamily="18" charset="0"/>
                          </a:rPr>
                        </m:ctrlPr>
                      </m:sSubSup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𝑐</m:t>
                        </m:r>
                      </m:sub>
                      <m:sup>
                        <m:r>
                          <a:rPr lang="en-US" sz="1000" b="0" i="1">
                            <a:latin typeface="Cambria Math" panose="02040503050406030204" pitchFamily="18" charset="0"/>
                            <a:ea typeface="Cambria Math" panose="02040503050406030204" pitchFamily="18" charset="0"/>
                          </a:rPr>
                          <m:t>′</m:t>
                        </m:r>
                      </m:sup>
                    </m:sSubSup>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𝐶𝑉</m:t>
                        </m:r>
                      </m:sub>
                    </m:sSub>
                    <m:r>
                      <a:rPr lang="en-US" sz="10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FE43F054-9B7F-4285-A156-C6C7810F6278}"/>
                </a:ext>
              </a:extLst>
            </xdr:cNvPr>
            <xdr:cNvSpPr txBox="1"/>
          </xdr:nvSpPr>
          <xdr:spPr>
            <a:xfrm>
              <a:off x="869016" y="15632579"/>
              <a:ext cx="618987" cy="152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ea typeface="Cambria Math" panose="02040503050406030204" pitchFamily="18" charset="0"/>
                </a:rPr>
                <a:t>𝐾_1 𝑓_𝑐^′ 𝐴_𝐶𝑉=</a:t>
              </a:r>
              <a:endParaRPr lang="en-US" sz="1100"/>
            </a:p>
          </xdr:txBody>
        </xdr:sp>
      </mc:Fallback>
    </mc:AlternateContent>
    <xdr:clientData/>
  </xdr:twoCellAnchor>
  <xdr:twoCellAnchor editAs="oneCell">
    <xdr:from>
      <xdr:col>1</xdr:col>
      <xdr:colOff>471582</xdr:colOff>
      <xdr:row>138</xdr:row>
      <xdr:rowOff>140073</xdr:rowOff>
    </xdr:from>
    <xdr:to>
      <xdr:col>2</xdr:col>
      <xdr:colOff>471675</xdr:colOff>
      <xdr:row>139</xdr:row>
      <xdr:rowOff>140637</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860E6FE2-4626-443D-920A-F6777A2B67F8}"/>
                </a:ext>
              </a:extLst>
            </xdr:cNvPr>
            <xdr:cNvSpPr txBox="1"/>
          </xdr:nvSpPr>
          <xdr:spPr>
            <a:xfrm>
              <a:off x="976407" y="15780123"/>
              <a:ext cx="504918" cy="155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𝐾</m:t>
                        </m:r>
                      </m:e>
                      <m:sub>
                        <m:r>
                          <a:rPr lang="en-US" sz="1000" b="0" i="1">
                            <a:latin typeface="Cambria Math" panose="02040503050406030204" pitchFamily="18" charset="0"/>
                            <a:ea typeface="Cambria Math" panose="02040503050406030204" pitchFamily="18" charset="0"/>
                          </a:rPr>
                          <m:t>2</m:t>
                        </m:r>
                      </m:sub>
                    </m:sSub>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𝐶𝑉</m:t>
                        </m:r>
                      </m:sub>
                    </m:sSub>
                    <m:r>
                      <a:rPr lang="en-US" sz="1000" b="0" i="0">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860E6FE2-4626-443D-920A-F6777A2B67F8}"/>
                </a:ext>
              </a:extLst>
            </xdr:cNvPr>
            <xdr:cNvSpPr txBox="1"/>
          </xdr:nvSpPr>
          <xdr:spPr>
            <a:xfrm>
              <a:off x="976407" y="15780123"/>
              <a:ext cx="504918" cy="155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ea typeface="Cambria Math" panose="02040503050406030204" pitchFamily="18" charset="0"/>
                </a:rPr>
                <a:t>𝐾_2 𝐴_𝐶𝑉=</a:t>
              </a:r>
              <a:endParaRPr lang="en-US" sz="1100"/>
            </a:p>
          </xdr:txBody>
        </xdr:sp>
      </mc:Fallback>
    </mc:AlternateContent>
    <xdr:clientData/>
  </xdr:twoCellAnchor>
  <xdr:twoCellAnchor editAs="oneCell">
    <xdr:from>
      <xdr:col>1</xdr:col>
      <xdr:colOff>142843</xdr:colOff>
      <xdr:row>139</xdr:row>
      <xdr:rowOff>152343</xdr:rowOff>
    </xdr:from>
    <xdr:to>
      <xdr:col>4</xdr:col>
      <xdr:colOff>41811</xdr:colOff>
      <xdr:row>141</xdr:row>
      <xdr:rowOff>26225</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18E9874E-8756-4504-8315-3521BDA30347}"/>
                </a:ext>
              </a:extLst>
            </xdr:cNvPr>
            <xdr:cNvSpPr txBox="1"/>
          </xdr:nvSpPr>
          <xdr:spPr>
            <a:xfrm>
              <a:off x="648653" y="17382740"/>
              <a:ext cx="1416398" cy="19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𝑐</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𝐶𝑉</m:t>
                        </m:r>
                      </m:sub>
                    </m:sSub>
                    <m:r>
                      <a:rPr lang="en-US" sz="1000" b="0" i="1">
                        <a:latin typeface="Cambria Math" panose="02040503050406030204" pitchFamily="18" charset="0"/>
                      </a:rPr>
                      <m:t>+</m:t>
                    </m:r>
                    <m:r>
                      <a:rPr lang="en-US" sz="1000" b="0" i="1">
                        <a:latin typeface="Cambria Math" panose="02040503050406030204" pitchFamily="18" charset="0"/>
                        <a:ea typeface="Cambria Math" panose="02040503050406030204" pitchFamily="18" charset="0"/>
                      </a:rPr>
                      <m:t>𝜇</m:t>
                    </m:r>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𝑉𝐹</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𝑃</m:t>
                            </m:r>
                          </m:e>
                          <m:sub>
                            <m:r>
                              <a:rPr lang="en-US" sz="1000" b="0" i="1">
                                <a:latin typeface="Cambria Math" panose="02040503050406030204" pitchFamily="18" charset="0"/>
                                <a:ea typeface="Cambria Math" panose="02040503050406030204" pitchFamily="18" charset="0"/>
                              </a:rPr>
                              <m:t>𝐶</m:t>
                            </m:r>
                          </m:sub>
                        </m:sSub>
                      </m:e>
                    </m:d>
                    <m:r>
                      <a:rPr lang="en-US" sz="10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18E9874E-8756-4504-8315-3521BDA30347}"/>
                </a:ext>
              </a:extLst>
            </xdr:cNvPr>
            <xdr:cNvSpPr txBox="1"/>
          </xdr:nvSpPr>
          <xdr:spPr>
            <a:xfrm>
              <a:off x="648653" y="17382740"/>
              <a:ext cx="1416398" cy="19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000" b="0" i="0">
                  <a:latin typeface="Cambria Math" panose="02040503050406030204" pitchFamily="18" charset="0"/>
                </a:rPr>
                <a:t>𝑐𝐴_𝐶𝑉+</a:t>
              </a:r>
              <a:r>
                <a:rPr lang="en-US" sz="1000" b="0" i="0">
                  <a:latin typeface="Cambria Math" panose="02040503050406030204" pitchFamily="18" charset="0"/>
                  <a:ea typeface="Cambria Math" panose="02040503050406030204" pitchFamily="18" charset="0"/>
                </a:rPr>
                <a:t>𝜇(𝐴_𝑉𝐹 𝑓_𝑦+𝑃_𝐶 )=</a:t>
              </a:r>
              <a:endParaRPr lang="en-US" sz="1100"/>
            </a:p>
          </xdr:txBody>
        </xdr:sp>
      </mc:Fallback>
    </mc:AlternateContent>
    <xdr:clientData/>
  </xdr:twoCellAnchor>
  <xdr:oneCellAnchor>
    <xdr:from>
      <xdr:col>6</xdr:col>
      <xdr:colOff>18677</xdr:colOff>
      <xdr:row>144</xdr:row>
      <xdr:rowOff>37353</xdr:rowOff>
    </xdr:from>
    <xdr:ext cx="1010478" cy="381001"/>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2533F012-86F5-41B4-AD02-F16F320D42D3}"/>
                </a:ext>
              </a:extLst>
            </xdr:cNvPr>
            <xdr:cNvSpPr txBox="1"/>
          </xdr:nvSpPr>
          <xdr:spPr>
            <a:xfrm>
              <a:off x="3047627" y="16534653"/>
              <a:ext cx="1010478"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𝑉</m:t>
                        </m:r>
                      </m:e>
                      <m:sub>
                        <m:r>
                          <a:rPr lang="en-US" sz="1000" b="0" i="1">
                            <a:latin typeface="Cambria Math" panose="02040503050406030204" pitchFamily="18" charset="0"/>
                          </a:rPr>
                          <m:t>𝑢</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𝑅</m:t>
                            </m:r>
                          </m:e>
                          <m:sub>
                            <m:r>
                              <a:rPr lang="en-US" sz="1000" b="0" i="1">
                                <a:latin typeface="Cambria Math" panose="02040503050406030204" pitchFamily="18" charset="0"/>
                              </a:rPr>
                              <m:t>𝑊</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den>
                    </m:f>
                    <m:r>
                      <a:rPr lang="en-US" sz="1000" b="0" i="1">
                        <a:latin typeface="Cambria Math" panose="02040503050406030204" pitchFamily="18" charset="0"/>
                      </a:rPr>
                      <m:t>=</m:t>
                    </m:r>
                  </m:oMath>
                </m:oMathPara>
              </a14:m>
              <a:endParaRPr lang="en-US" sz="1000"/>
            </a:p>
          </xdr:txBody>
        </xdr:sp>
      </mc:Choice>
      <mc:Fallback xmlns="">
        <xdr:sp macro="" textlink="">
          <xdr:nvSpPr>
            <xdr:cNvPr id="14" name="TextBox 13">
              <a:extLst>
                <a:ext uri="{FF2B5EF4-FFF2-40B4-BE49-F238E27FC236}">
                  <a16:creationId xmlns:a16="http://schemas.microsoft.com/office/drawing/2014/main" id="{2533F012-86F5-41B4-AD02-F16F320D42D3}"/>
                </a:ext>
              </a:extLst>
            </xdr:cNvPr>
            <xdr:cNvSpPr txBox="1"/>
          </xdr:nvSpPr>
          <xdr:spPr>
            <a:xfrm>
              <a:off x="3047627" y="16534653"/>
              <a:ext cx="1010478"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𝑉_𝑢=𝑅_𝑊/𝐿_𝐶 =</a:t>
              </a:r>
              <a:endParaRPr lang="en-US" sz="1000"/>
            </a:p>
          </xdr:txBody>
        </xdr:sp>
      </mc:Fallback>
    </mc:AlternateContent>
    <xdr:clientData/>
  </xdr:oneCellAnchor>
  <xdr:twoCellAnchor editAs="oneCell">
    <xdr:from>
      <xdr:col>0</xdr:col>
      <xdr:colOff>323022</xdr:colOff>
      <xdr:row>22</xdr:row>
      <xdr:rowOff>49694</xdr:rowOff>
    </xdr:from>
    <xdr:to>
      <xdr:col>4</xdr:col>
      <xdr:colOff>230926</xdr:colOff>
      <xdr:row>40</xdr:row>
      <xdr:rowOff>41412</xdr:rowOff>
    </xdr:to>
    <xdr:pic>
      <xdr:nvPicPr>
        <xdr:cNvPr id="4" name="Picture 3">
          <a:extLst>
            <a:ext uri="{FF2B5EF4-FFF2-40B4-BE49-F238E27FC236}">
              <a16:creationId xmlns:a16="http://schemas.microsoft.com/office/drawing/2014/main" id="{4A1AFF8D-4E37-44CA-835F-3A5CDDA3D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022" y="3569803"/>
          <a:ext cx="1912295" cy="26752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413133</xdr:colOff>
      <xdr:row>58</xdr:row>
      <xdr:rowOff>56030</xdr:rowOff>
    </xdr:from>
    <xdr:to>
      <xdr:col>6</xdr:col>
      <xdr:colOff>504940</xdr:colOff>
      <xdr:row>79</xdr:row>
      <xdr:rowOff>92138</xdr:rowOff>
    </xdr:to>
    <xdr:pic>
      <xdr:nvPicPr>
        <xdr:cNvPr id="27" name="Picture 26">
          <a:extLst>
            <a:ext uri="{FF2B5EF4-FFF2-40B4-BE49-F238E27FC236}">
              <a16:creationId xmlns:a16="http://schemas.microsoft.com/office/drawing/2014/main" id="{00000000-0008-0000-0300-00001B000000}"/>
            </a:ext>
          </a:extLst>
        </xdr:cNvPr>
        <xdr:cNvPicPr>
          <a:picLocks noChangeAspect="1"/>
        </xdr:cNvPicPr>
      </xdr:nvPicPr>
      <xdr:blipFill rotWithShape="1">
        <a:blip xmlns:r="http://schemas.openxmlformats.org/officeDocument/2006/relationships" r:embed="rId1"/>
        <a:srcRect t="4751"/>
        <a:stretch/>
      </xdr:blipFill>
      <xdr:spPr>
        <a:xfrm>
          <a:off x="413133" y="9547412"/>
          <a:ext cx="3700101" cy="3330638"/>
        </a:xfrm>
        <a:prstGeom prst="rect">
          <a:avLst/>
        </a:prstGeom>
      </xdr:spPr>
    </xdr:pic>
    <xdr:clientData/>
  </xdr:twoCellAnchor>
  <xdr:twoCellAnchor>
    <xdr:from>
      <xdr:col>0</xdr:col>
      <xdr:colOff>100764</xdr:colOff>
      <xdr:row>156</xdr:row>
      <xdr:rowOff>89401</xdr:rowOff>
    </xdr:from>
    <xdr:to>
      <xdr:col>1</xdr:col>
      <xdr:colOff>558792</xdr:colOff>
      <xdr:row>158</xdr:row>
      <xdr:rowOff>89401</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0764" y="28672756"/>
              <a:ext cx="1072140" cy="513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r>
                      <a:rPr lang="en-US" sz="1000" b="0" i="1">
                        <a:latin typeface="Cambria Math" panose="02040503050406030204" pitchFamily="18" charset="0"/>
                      </a:rPr>
                      <m:t>𝑎</m:t>
                    </m:r>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𝐴𝑠</m:t>
                        </m:r>
                        <m:r>
                          <a:rPr lang="en-US" sz="1000" b="0" i="1">
                            <a:latin typeface="Cambria Math" panose="02040503050406030204" pitchFamily="18" charset="0"/>
                          </a:rPr>
                          <m:t> ∗</m:t>
                        </m:r>
                        <m:r>
                          <a:rPr lang="en-US" sz="1000" b="0" i="1">
                            <a:latin typeface="Cambria Math" panose="02040503050406030204" pitchFamily="18" charset="0"/>
                          </a:rPr>
                          <m:t>𝑓𝑦</m:t>
                        </m:r>
                      </m:num>
                      <m:den>
                        <m:r>
                          <a:rPr lang="en-US" sz="1000" b="0" i="1">
                            <a:latin typeface="Cambria Math" panose="02040503050406030204" pitchFamily="18" charset="0"/>
                          </a:rPr>
                          <m:t>0.85</m:t>
                        </m:r>
                        <m:sSubSup>
                          <m:sSubSupPr>
                            <m:ctrlPr>
                              <a:rPr lang="en-US" sz="1000" b="0" i="1">
                                <a:latin typeface="Cambria Math" panose="02040503050406030204" pitchFamily="18" charset="0"/>
                              </a:rPr>
                            </m:ctrlPr>
                          </m:sSubSupPr>
                          <m:e>
                            <m:r>
                              <a:rPr lang="en-US" sz="1000" b="0" i="1">
                                <a:latin typeface="Cambria Math" panose="02040503050406030204" pitchFamily="18" charset="0"/>
                              </a:rPr>
                              <m:t>𝑓</m:t>
                            </m:r>
                          </m:e>
                          <m:sub>
                            <m:r>
                              <a:rPr lang="en-US" sz="1000" b="0" i="1">
                                <a:latin typeface="Cambria Math" panose="02040503050406030204" pitchFamily="18" charset="0"/>
                              </a:rPr>
                              <m:t>𝑐</m:t>
                            </m:r>
                          </m:sub>
                          <m:sup>
                            <m:r>
                              <a:rPr lang="en-US" sz="1000" b="0" i="1">
                                <a:latin typeface="Cambria Math" panose="02040503050406030204" pitchFamily="18" charset="0"/>
                              </a:rPr>
                              <m:t>′</m:t>
                            </m:r>
                          </m:sup>
                        </m:sSubSup>
                        <m:r>
                          <a:rPr lang="en-US" sz="1000" b="0" i="1">
                            <a:latin typeface="Cambria Math" panose="02040503050406030204" pitchFamily="18" charset="0"/>
                          </a:rPr>
                          <m:t>𝑏</m:t>
                        </m:r>
                      </m:den>
                    </m:f>
                    <m:r>
                      <a:rPr lang="en-US" sz="1000" b="0" i="1">
                        <a:latin typeface="Cambria Math" panose="02040503050406030204" pitchFamily="18" charset="0"/>
                      </a:rPr>
                      <m:t>=</m:t>
                    </m:r>
                  </m:oMath>
                </m:oMathPara>
              </a14:m>
              <a:endParaRPr lang="en-US" sz="1000">
                <a:latin typeface="Arial Narrow" panose="020B060602020203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764" y="28672756"/>
              <a:ext cx="1072140" cy="513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𝑎=(𝐴𝑠 ∗𝑓𝑦)/(0.85𝑓_𝑐^′ 𝑏)=</a:t>
              </a:r>
              <a:endParaRPr lang="en-US" sz="1000">
                <a:latin typeface="Arial Narrow" panose="020B0606020202030204" pitchFamily="34" charset="0"/>
                <a:cs typeface="Arial" panose="020B0604020202020204" pitchFamily="34" charset="0"/>
              </a:endParaRPr>
            </a:p>
          </xdr:txBody>
        </xdr:sp>
      </mc:Fallback>
    </mc:AlternateContent>
    <xdr:clientData/>
  </xdr:twoCellAnchor>
  <xdr:twoCellAnchor>
    <xdr:from>
      <xdr:col>3</xdr:col>
      <xdr:colOff>95249</xdr:colOff>
      <xdr:row>158</xdr:row>
      <xdr:rowOff>38100</xdr:rowOff>
    </xdr:from>
    <xdr:to>
      <xdr:col>6</xdr:col>
      <xdr:colOff>133350</xdr:colOff>
      <xdr:row>158</xdr:row>
      <xdr:rowOff>587374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943099" y="34658300"/>
              <a:ext cx="1943101" cy="549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14:m>
                <m:oMathPara xmlns:m="http://schemas.openxmlformats.org/officeDocument/2006/math">
                  <m:oMathParaPr>
                    <m:jc m:val="right"/>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i="1">
                            <a:latin typeface="Cambria Math" panose="02040503050406030204" pitchFamily="18" charset="0"/>
                            <a:ea typeface="Cambria Math" panose="02040503050406030204" pitchFamily="18" charset="0"/>
                          </a:rPr>
                          <m:t>𝜑</m:t>
                        </m:r>
                      </m:e>
                      <m:sub>
                        <m:r>
                          <a:rPr lang="en-US" sz="1000" b="0" i="1">
                            <a:latin typeface="Cambria Math" panose="02040503050406030204" pitchFamily="18" charset="0"/>
                            <a:ea typeface="Cambria Math" panose="02040503050406030204" pitchFamily="18" charset="0"/>
                          </a:rPr>
                          <m:t>𝐸𝐸</m:t>
                        </m:r>
                      </m:sub>
                    </m:sSub>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e>
                      <m:sub>
                        <m:r>
                          <a:rPr lang="en-US" sz="1000" b="0" i="1">
                            <a:latin typeface="Cambria Math" panose="02040503050406030204" pitchFamily="18" charset="0"/>
                            <a:ea typeface="Cambria Math" panose="02040503050406030204" pitchFamily="18" charset="0"/>
                          </a:rPr>
                          <m:t>𝐸𝐸</m:t>
                        </m:r>
                      </m:sub>
                    </m:sSub>
                    <m:d>
                      <m:dPr>
                        <m:begChr m:val="["/>
                        <m:endChr m:val="]"/>
                        <m:ctrlPr>
                          <a:rPr lang="en-US" sz="1000" b="0" i="1">
                            <a:latin typeface="Cambria Math" panose="02040503050406030204" pitchFamily="18" charset="0"/>
                            <a:ea typeface="Cambria Math" panose="02040503050406030204" pitchFamily="18" charset="0"/>
                          </a:rPr>
                        </m:ctrlPr>
                      </m:dPr>
                      <m:e>
                        <m:r>
                          <a:rPr lang="en-US" sz="1100" b="0" i="1">
                            <a:solidFill>
                              <a:schemeClr val="tx1"/>
                            </a:solidFill>
                            <a:effectLst/>
                            <a:latin typeface="Cambria Math" panose="02040503050406030204" pitchFamily="18" charset="0"/>
                            <a:ea typeface="+mn-ea"/>
                            <a:cs typeface="+mn-cs"/>
                          </a:rPr>
                          <m:t>𝐴𝑠</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𝑓𝑦</m:t>
                        </m:r>
                        <m:d>
                          <m:dPr>
                            <m:ctrlPr>
                              <a:rPr lang="en-US" sz="1000" b="0" i="1">
                                <a:solidFill>
                                  <a:schemeClr val="tx1"/>
                                </a:solidFill>
                                <a:effectLst/>
                                <a:latin typeface="Cambria Math" panose="02040503050406030204" pitchFamily="18" charset="0"/>
                                <a:ea typeface="+mn-ea"/>
                                <a:cs typeface="+mn-cs"/>
                              </a:rPr>
                            </m:ctrlPr>
                          </m:dPr>
                          <m:e>
                            <m:r>
                              <a:rPr lang="en-US" sz="1000" b="0" i="1">
                                <a:solidFill>
                                  <a:schemeClr val="tx1"/>
                                </a:solidFill>
                                <a:effectLst/>
                                <a:latin typeface="Cambria Math" panose="02040503050406030204" pitchFamily="18" charset="0"/>
                                <a:ea typeface="+mn-ea"/>
                                <a:cs typeface="+mn-cs"/>
                              </a:rPr>
                              <m:t>𝑑</m:t>
                            </m:r>
                            <m:r>
                              <a:rPr lang="en-US" sz="1000" b="0" i="1">
                                <a:solidFill>
                                  <a:schemeClr val="tx1"/>
                                </a:solidFill>
                                <a:effectLst/>
                                <a:latin typeface="Cambria Math" panose="02040503050406030204" pitchFamily="18" charset="0"/>
                                <a:ea typeface="+mn-ea"/>
                                <a:cs typeface="+mn-cs"/>
                              </a:rPr>
                              <m:t>−</m:t>
                            </m:r>
                            <m:f>
                              <m:fPr>
                                <m:ctrlPr>
                                  <a:rPr lang="en-US" sz="1000" b="0" i="1">
                                    <a:solidFill>
                                      <a:schemeClr val="tx1"/>
                                    </a:solidFill>
                                    <a:effectLst/>
                                    <a:latin typeface="Cambria Math" panose="02040503050406030204" pitchFamily="18" charset="0"/>
                                    <a:ea typeface="+mn-ea"/>
                                    <a:cs typeface="+mn-cs"/>
                                  </a:rPr>
                                </m:ctrlPr>
                              </m:fPr>
                              <m:num>
                                <m:r>
                                  <a:rPr lang="en-US" sz="1000" b="0" i="1">
                                    <a:solidFill>
                                      <a:schemeClr val="tx1"/>
                                    </a:solidFill>
                                    <a:effectLst/>
                                    <a:latin typeface="Cambria Math" panose="02040503050406030204" pitchFamily="18" charset="0"/>
                                    <a:ea typeface="+mn-ea"/>
                                    <a:cs typeface="+mn-cs"/>
                                  </a:rPr>
                                  <m:t>𝑎</m:t>
                                </m:r>
                              </m:num>
                              <m:den>
                                <m:r>
                                  <a:rPr lang="en-US" sz="1000" b="0" i="1">
                                    <a:solidFill>
                                      <a:schemeClr val="tx1"/>
                                    </a:solidFill>
                                    <a:effectLst/>
                                    <a:latin typeface="Cambria Math" panose="02040503050406030204" pitchFamily="18" charset="0"/>
                                    <a:ea typeface="+mn-ea"/>
                                    <a:cs typeface="+mn-cs"/>
                                  </a:rPr>
                                  <m:t>2</m:t>
                                </m:r>
                              </m:den>
                            </m:f>
                          </m:e>
                        </m:d>
                      </m:e>
                    </m:d>
                    <m:r>
                      <a:rPr lang="en-US" sz="1000" b="0" i="1">
                        <a:latin typeface="Cambria Math" panose="02040503050406030204" pitchFamily="18" charset="0"/>
                        <a:ea typeface="Cambria Math" panose="02040503050406030204" pitchFamily="18" charset="0"/>
                      </a:rPr>
                      <m:t>=</m:t>
                    </m:r>
                  </m:oMath>
                </m:oMathPara>
              </a14:m>
              <a:endParaRPr lang="en-US" sz="1000"/>
            </a:p>
          </xdr:txBody>
        </xdr:sp>
      </mc:Choice>
      <mc:Fallback xmlns="">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943099" y="34658300"/>
              <a:ext cx="1943101" cy="549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lvl="0"/>
              <a:r>
                <a:rPr lang="en-US" sz="1000" i="0">
                  <a:latin typeface="Cambria Math" panose="02040503050406030204" pitchFamily="18" charset="0"/>
                  <a:ea typeface="Cambria Math" panose="02040503050406030204" pitchFamily="18" charset="0"/>
                </a:rPr>
                <a:t>𝜑_</a:t>
              </a:r>
              <a:r>
                <a:rPr lang="en-US" sz="1000" b="0" i="0">
                  <a:latin typeface="Cambria Math" panose="02040503050406030204" pitchFamily="18" charset="0"/>
                  <a:ea typeface="Cambria Math" panose="02040503050406030204" pitchFamily="18" charset="0"/>
                </a:rPr>
                <a:t>𝐸𝐸 𝑀_𝑛=𝜑_𝐸𝐸 [</a:t>
              </a:r>
              <a:r>
                <a:rPr lang="en-US" sz="1100" b="0" i="0">
                  <a:solidFill>
                    <a:schemeClr val="tx1"/>
                  </a:solidFill>
                  <a:effectLst/>
                  <a:latin typeface="+mn-lt"/>
                  <a:ea typeface="+mn-ea"/>
                  <a:cs typeface="+mn-cs"/>
                </a:rPr>
                <a:t>𝐴𝑠 ∗𝑓𝑦</a:t>
              </a:r>
              <a:r>
                <a:rPr lang="en-US" sz="1000" b="0" i="0">
                  <a:solidFill>
                    <a:schemeClr val="tx1"/>
                  </a:solidFill>
                  <a:effectLst/>
                  <a:latin typeface="Cambria Math" panose="02040503050406030204" pitchFamily="18" charset="0"/>
                  <a:ea typeface="+mn-ea"/>
                  <a:cs typeface="+mn-cs"/>
                </a:rPr>
                <a:t>(𝑑−𝑎/2)]</a:t>
              </a:r>
              <a:r>
                <a:rPr lang="en-US" sz="1000" b="0" i="0">
                  <a:latin typeface="Cambria Math" panose="02040503050406030204" pitchFamily="18" charset="0"/>
                  <a:ea typeface="Cambria Math" panose="02040503050406030204" pitchFamily="18" charset="0"/>
                </a:rPr>
                <a:t>=</a:t>
              </a:r>
              <a:endParaRPr lang="en-US" sz="1000"/>
            </a:p>
          </xdr:txBody>
        </xdr:sp>
      </mc:Fallback>
    </mc:AlternateContent>
    <xdr:clientData/>
  </xdr:twoCellAnchor>
  <xdr:oneCellAnchor>
    <xdr:from>
      <xdr:col>7</xdr:col>
      <xdr:colOff>165785</xdr:colOff>
      <xdr:row>162</xdr:row>
      <xdr:rowOff>0</xdr:rowOff>
    </xdr:from>
    <xdr:ext cx="124521" cy="371475"/>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4471085" y="43862625"/>
          <a:ext cx="124521"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endParaRPr lang="en-US" sz="1100"/>
        </a:p>
      </xdr:txBody>
    </xdr:sp>
    <xdr:clientData/>
  </xdr:oneCellAnchor>
  <xdr:twoCellAnchor>
    <xdr:from>
      <xdr:col>0</xdr:col>
      <xdr:colOff>413133</xdr:colOff>
      <xdr:row>64</xdr:row>
      <xdr:rowOff>119349</xdr:rowOff>
    </xdr:from>
    <xdr:to>
      <xdr:col>1</xdr:col>
      <xdr:colOff>247880</xdr:colOff>
      <xdr:row>66</xdr:row>
      <xdr:rowOff>91807</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413133" y="11016867"/>
          <a:ext cx="440675" cy="266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anose="020B0604020202020204" pitchFamily="34" charset="0"/>
              <a:cs typeface="Arial" panose="020B0604020202020204" pitchFamily="34" charset="0"/>
            </a:rPr>
            <a:t>12.7"</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220704</xdr:colOff>
      <xdr:row>1</xdr:row>
      <xdr:rowOff>104204</xdr:rowOff>
    </xdr:from>
    <xdr:to>
      <xdr:col>5</xdr:col>
      <xdr:colOff>206619</xdr:colOff>
      <xdr:row>23</xdr:row>
      <xdr:rowOff>102545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832909" y="299589"/>
          <a:ext cx="2688736" cy="31505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154081</xdr:colOff>
      <xdr:row>16</xdr:row>
      <xdr:rowOff>60699</xdr:rowOff>
    </xdr:from>
    <xdr:to>
      <xdr:col>3</xdr:col>
      <xdr:colOff>476250</xdr:colOff>
      <xdr:row>32</xdr:row>
      <xdr:rowOff>126067</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154081" y="2473699"/>
          <a:ext cx="1846169" cy="2351368"/>
          <a:chOff x="2824370" y="4563718"/>
          <a:chExt cx="2012674" cy="3123415"/>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796" t="38949" r="52341" b="25825"/>
          <a:stretch/>
        </xdr:blipFill>
        <xdr:spPr>
          <a:xfrm>
            <a:off x="2824370" y="4563718"/>
            <a:ext cx="2012674" cy="2898913"/>
          </a:xfrm>
          <a:prstGeom prst="rect">
            <a:avLst/>
          </a:prstGeom>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412435" y="7446065"/>
            <a:ext cx="1047082" cy="241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b="1">
                <a:latin typeface="Arial" panose="020B0604020202020204" pitchFamily="34" charset="0"/>
                <a:cs typeface="Arial" panose="020B0604020202020204" pitchFamily="34" charset="0"/>
              </a:rPr>
              <a:t>Barrier</a:t>
            </a:r>
            <a:r>
              <a:rPr lang="en-US" sz="1000" b="1" baseline="0">
                <a:latin typeface="Arial" panose="020B0604020202020204" pitchFamily="34" charset="0"/>
                <a:cs typeface="Arial" panose="020B0604020202020204" pitchFamily="34" charset="0"/>
              </a:rPr>
              <a:t> Type 7</a:t>
            </a:r>
            <a:endParaRPr lang="en-US" sz="1000" b="1">
              <a:latin typeface="Arial" panose="020B0604020202020204" pitchFamily="34" charset="0"/>
              <a:cs typeface="Arial" panose="020B0604020202020204" pitchFamily="34" charset="0"/>
            </a:endParaRPr>
          </a:p>
        </xdr:txBody>
      </xdr:sp>
    </xdr:grpSp>
    <xdr:clientData/>
  </xdr:twoCellAnchor>
  <xdr:twoCellAnchor editAs="oneCell">
    <xdr:from>
      <xdr:col>0</xdr:col>
      <xdr:colOff>284818</xdr:colOff>
      <xdr:row>51</xdr:row>
      <xdr:rowOff>0</xdr:rowOff>
    </xdr:from>
    <xdr:to>
      <xdr:col>4</xdr:col>
      <xdr:colOff>48805</xdr:colOff>
      <xdr:row>53</xdr:row>
      <xdr:rowOff>75982</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284818" y="7601324"/>
              <a:ext cx="1874428" cy="365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𝑆</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𝑑</m:t>
                            </m:r>
                          </m:e>
                          <m:sub>
                            <m:r>
                              <a:rPr lang="en-US" sz="1000" b="0" i="1">
                                <a:latin typeface="Cambria Math" panose="02040503050406030204" pitchFamily="18" charset="0"/>
                                <a:ea typeface="Cambria Math" panose="02040503050406030204" pitchFamily="18" charset="0"/>
                              </a:rPr>
                              <m:t>𝑆</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ea typeface="Cambria Math" panose="02040503050406030204" pitchFamily="18" charset="0"/>
                              </a:rPr>
                            </m:ctrlPr>
                          </m:fPr>
                          <m:num>
                            <m:r>
                              <a:rPr lang="en-US" sz="1000" b="0" i="1">
                                <a:latin typeface="Cambria Math" panose="02040503050406030204" pitchFamily="18" charset="0"/>
                                <a:ea typeface="Cambria Math" panose="02040503050406030204" pitchFamily="18" charset="0"/>
                              </a:rPr>
                              <m:t>𝑎</m:t>
                            </m:r>
                          </m:num>
                          <m:den>
                            <m:r>
                              <a:rPr lang="en-US" sz="1000" b="0" i="1">
                                <a:latin typeface="Cambria Math" panose="02040503050406030204" pitchFamily="18" charset="0"/>
                                <a:ea typeface="Cambria Math" panose="02040503050406030204" pitchFamily="18" charset="0"/>
                              </a:rPr>
                              <m:t>2</m:t>
                            </m:r>
                          </m:den>
                        </m:f>
                      </m:e>
                    </m:d>
                  </m:oMath>
                </m:oMathPara>
              </a14:m>
              <a:endParaRPr lang="en-US" sz="1000"/>
            </a:p>
          </xdr:txBody>
        </xdr:sp>
      </mc:Choice>
      <mc:Fallback xmlns="">
        <xdr:sp macro="" textlink="">
          <xdr:nvSpPr>
            <xdr:cNvPr id="5" name="TextBox 4">
              <a:extLst>
                <a:ext uri="{FF2B5EF4-FFF2-40B4-BE49-F238E27FC236}">
                  <a16:creationId xmlns:a16="http://schemas.microsoft.com/office/drawing/2014/main" id="{475D3DB0-DCB6-4ADF-A806-9362A5DA9731}"/>
                </a:ext>
              </a:extLst>
            </xdr:cNvPr>
            <xdr:cNvSpPr txBox="1"/>
          </xdr:nvSpPr>
          <xdr:spPr>
            <a:xfrm>
              <a:off x="284818" y="7601324"/>
              <a:ext cx="1874428" cy="365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i="0">
                  <a:latin typeface="Cambria Math" panose="02040503050406030204" pitchFamily="18" charset="0"/>
                  <a:ea typeface="Cambria Math" panose="02040503050406030204" pitchFamily="18" charset="0"/>
                </a:rPr>
                <a:t>〖𝜑</a:t>
              </a:r>
              <a:r>
                <a:rPr lang="en-US" sz="1000" b="0" i="0">
                  <a:latin typeface="Cambria Math" panose="02040503050406030204" pitchFamily="18" charset="0"/>
                  <a:ea typeface="Cambria Math" panose="02040503050406030204" pitchFamily="18" charset="0"/>
                </a:rPr>
                <a:t>𝑀〗_𝑛=〖𝜑𝐴〗_𝑆 𝑓_𝑦 (𝑑_𝑆−𝑎/2)</a:t>
              </a:r>
              <a:endParaRPr lang="en-US" sz="1000"/>
            </a:p>
          </xdr:txBody>
        </xdr:sp>
      </mc:Fallback>
    </mc:AlternateContent>
    <xdr:clientData/>
  </xdr:twoCellAnchor>
  <xdr:twoCellAnchor editAs="oneCell">
    <xdr:from>
      <xdr:col>5</xdr:col>
      <xdr:colOff>37354</xdr:colOff>
      <xdr:row>51</xdr:row>
      <xdr:rowOff>31846</xdr:rowOff>
    </xdr:from>
    <xdr:to>
      <xdr:col>9</xdr:col>
      <xdr:colOff>341935</xdr:colOff>
      <xdr:row>53</xdr:row>
      <xdr:rowOff>107830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675405" y="7633170"/>
              <a:ext cx="2401015" cy="365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𝐶</m:t>
                        </m:r>
                      </m:sub>
                    </m:sSub>
                    <m:r>
                      <a:rPr lang="en-US" sz="1000" b="0" i="1">
                        <a:latin typeface="Cambria Math" panose="02040503050406030204" pitchFamily="18" charset="0"/>
                        <a:ea typeface="Cambria Math" panose="02040503050406030204" pitchFamily="18" charset="0"/>
                      </a:rPr>
                      <m:t>=</m:t>
                    </m:r>
                    <m:nary>
                      <m:naryPr>
                        <m:chr m:val="∑"/>
                        <m:limLoc m:val="subSup"/>
                        <m:ctrlPr>
                          <a:rPr lang="en-US" sz="1000" b="0" i="1">
                            <a:latin typeface="Cambria Math" panose="02040503050406030204" pitchFamily="18" charset="0"/>
                            <a:ea typeface="Cambria Math" panose="02040503050406030204" pitchFamily="18" charset="0"/>
                          </a:rPr>
                        </m:ctrlPr>
                      </m:naryPr>
                      <m:sub>
                        <m:r>
                          <m:rPr>
                            <m:brk m:alnAt="25"/>
                          </m:rPr>
                          <a:rPr lang="en-US" sz="1000" b="0" i="1">
                            <a:latin typeface="Cambria Math" panose="02040503050406030204" pitchFamily="18" charset="0"/>
                            <a:ea typeface="Cambria Math" panose="02040503050406030204" pitchFamily="18" charset="0"/>
                          </a:rPr>
                          <m:t>1</m:t>
                        </m:r>
                      </m:sub>
                      <m:sup>
                        <m:r>
                          <a:rPr lang="en-US" sz="1000" b="0" i="1">
                            <a:latin typeface="Cambria Math" panose="02040503050406030204" pitchFamily="18" charset="0"/>
                            <a:ea typeface="Cambria Math" panose="02040503050406030204" pitchFamily="18" charset="0"/>
                          </a:rPr>
                          <m:t>𝑛</m:t>
                        </m:r>
                      </m:sup>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𝜑</m:t>
                            </m:r>
                            <m:r>
                              <a:rPr lang="en-US" sz="1000" b="0" i="1">
                                <a:latin typeface="Cambria Math" panose="02040503050406030204" pitchFamily="18" charset="0"/>
                                <a:ea typeface="Cambria Math" panose="02040503050406030204" pitchFamily="18" charset="0"/>
                              </a:rPr>
                              <m:t>𝑀</m:t>
                            </m:r>
                          </m:e>
                          <m:sub>
                            <m:r>
                              <a:rPr lang="en-US" sz="1000" b="0" i="1">
                                <a:latin typeface="Cambria Math" panose="02040503050406030204" pitchFamily="18" charset="0"/>
                                <a:ea typeface="Cambria Math" panose="02040503050406030204" pitchFamily="18" charset="0"/>
                              </a:rPr>
                              <m:t>𝑛</m:t>
                            </m:r>
                          </m:sub>
                        </m:sSub>
                        <m:r>
                          <a:rPr lang="en-US" sz="1000" b="0" i="1">
                            <a:latin typeface="Cambria Math" panose="02040503050406030204" pitchFamily="18" charset="0"/>
                            <a:ea typeface="Cambria Math" panose="02040503050406030204" pitchFamily="18" charset="0"/>
                          </a:rPr>
                          <m:t>∙</m:t>
                        </m:r>
                        <m:r>
                          <a:rPr lang="en-US" sz="1000" b="0" i="1">
                            <a:latin typeface="Cambria Math" panose="02040503050406030204" pitchFamily="18" charset="0"/>
                            <a:ea typeface="Cambria Math" panose="02040503050406030204" pitchFamily="18" charset="0"/>
                          </a:rPr>
                          <m:t>𝑆𝑒𝑐𝑡𝑖𝑜𝑛𝐻𝑒𝑖𝑔h𝑡</m:t>
                        </m:r>
                      </m:e>
                    </m:nary>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𝐻</m:t>
                        </m:r>
                      </m:e>
                      <m:sub>
                        <m:r>
                          <a:rPr lang="en-US" sz="1000" b="0" i="1">
                            <a:latin typeface="Cambria Math" panose="02040503050406030204" pitchFamily="18" charset="0"/>
                            <a:ea typeface="Cambria Math" panose="02040503050406030204" pitchFamily="18" charset="0"/>
                          </a:rPr>
                          <m:t>𝐵</m:t>
                        </m:r>
                      </m:sub>
                    </m:sSub>
                  </m:oMath>
                </m:oMathPara>
              </a14:m>
              <a:endParaRPr lang="en-US" sz="1000"/>
            </a:p>
          </xdr:txBody>
        </xdr:sp>
      </mc:Choice>
      <mc:Fallback xmlns="">
        <xdr:sp macro="" textlink="">
          <xdr:nvSpPr>
            <xdr:cNvPr id="6" name="TextBox 5">
              <a:extLst>
                <a:ext uri="{FF2B5EF4-FFF2-40B4-BE49-F238E27FC236}">
                  <a16:creationId xmlns:a16="http://schemas.microsoft.com/office/drawing/2014/main" id="{A3F0770C-6F7A-4894-92AA-67D319436F47}"/>
                </a:ext>
              </a:extLst>
            </xdr:cNvPr>
            <xdr:cNvSpPr txBox="1"/>
          </xdr:nvSpPr>
          <xdr:spPr>
            <a:xfrm>
              <a:off x="2675405" y="7633170"/>
              <a:ext cx="2401015" cy="365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ea typeface="Cambria Math" panose="02040503050406030204" pitchFamily="18" charset="0"/>
                </a:rPr>
                <a:t>𝑀_𝐶=∑2_1^𝑛▒〖〖𝜑𝑀〗_𝑛∙𝑆𝑒𝑐𝑡𝑖𝑜𝑛𝐻𝑒𝑖𝑔ℎ𝑡〗/𝐻_𝐵</a:t>
              </a:r>
              <a:endParaRPr lang="en-US" sz="1000"/>
            </a:p>
          </xdr:txBody>
        </xdr:sp>
      </mc:Fallback>
    </mc:AlternateContent>
    <xdr:clientData/>
  </xdr:twoCellAnchor>
  <xdr:oneCellAnchor>
    <xdr:from>
      <xdr:col>0</xdr:col>
      <xdr:colOff>224118</xdr:colOff>
      <xdr:row>68</xdr:row>
      <xdr:rowOff>112058</xdr:rowOff>
    </xdr:from>
    <xdr:ext cx="2484077" cy="49695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224118" y="10178676"/>
              <a:ext cx="2484077" cy="496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𝑅</m:t>
                        </m:r>
                      </m:e>
                      <m:sub>
                        <m:r>
                          <a:rPr lang="en-US" sz="1000" b="0" i="1">
                            <a:latin typeface="Cambria Math" panose="02040503050406030204" pitchFamily="18" charset="0"/>
                          </a:rPr>
                          <m:t>𝑊</m:t>
                        </m:r>
                      </m:sub>
                    </m:sSub>
                    <m:r>
                      <a:rPr lang="en-US" sz="1000" b="0" i="1">
                        <a:latin typeface="Cambria Math" panose="02040503050406030204" pitchFamily="18" charset="0"/>
                      </a:rPr>
                      <m:t>=</m:t>
                    </m:r>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r>
                              <a:rPr lang="en-US" sz="1000" b="0" i="1">
                                <a:latin typeface="Cambria Math" panose="02040503050406030204" pitchFamily="18" charset="0"/>
                              </a:rPr>
                              <m:t>2</m:t>
                            </m:r>
                          </m:num>
                          <m:den>
                            <m:r>
                              <a:rPr lang="en-US" sz="1000" b="0" i="1">
                                <a:latin typeface="Cambria Math" panose="02040503050406030204" pitchFamily="18" charset="0"/>
                              </a:rPr>
                              <m:t>2</m:t>
                            </m:r>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den>
                        </m:f>
                      </m:e>
                    </m:d>
                    <m:d>
                      <m:dPr>
                        <m:ctrlPr>
                          <a:rPr lang="en-US" sz="1000" b="0" i="1">
                            <a:latin typeface="Cambria Math" panose="02040503050406030204" pitchFamily="18" charset="0"/>
                          </a:rPr>
                        </m:ctrlPr>
                      </m:dPr>
                      <m:e>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𝑏</m:t>
                            </m:r>
                          </m:sub>
                        </m:sSub>
                        <m:r>
                          <a:rPr lang="en-US" sz="1000" b="0" i="1">
                            <a:latin typeface="Cambria Math" panose="02040503050406030204" pitchFamily="18" charset="0"/>
                          </a:rPr>
                          <m:t>+8</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𝑊</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𝐶</m:t>
                                </m:r>
                              </m:sub>
                            </m:sSub>
                            <m:sSubSup>
                              <m:sSubSupPr>
                                <m:ctrlPr>
                                  <a:rPr lang="en-US" sz="1000" b="0" i="1">
                                    <a:latin typeface="Cambria Math" panose="02040503050406030204" pitchFamily="18" charset="0"/>
                                  </a:rPr>
                                </m:ctrlPr>
                              </m:sSubSupPr>
                              <m:e>
                                <m:r>
                                  <a:rPr lang="en-US" sz="1000" b="0" i="1">
                                    <a:latin typeface="Cambria Math" panose="02040503050406030204" pitchFamily="18" charset="0"/>
                                  </a:rPr>
                                  <m:t>𝐿</m:t>
                                </m:r>
                              </m:e>
                              <m:sub>
                                <m:r>
                                  <a:rPr lang="en-US" sz="1000" b="0" i="1">
                                    <a:latin typeface="Cambria Math" panose="02040503050406030204" pitchFamily="18" charset="0"/>
                                  </a:rPr>
                                  <m:t>𝐶</m:t>
                                </m:r>
                              </m:sub>
                              <m:sup>
                                <m:r>
                                  <a:rPr lang="en-US" sz="1000" b="0" i="1">
                                    <a:latin typeface="Cambria Math" panose="02040503050406030204" pitchFamily="18" charset="0"/>
                                  </a:rPr>
                                  <m:t>2</m:t>
                                </m:r>
                              </m:sup>
                            </m:sSubSup>
                          </m:num>
                          <m:den>
                            <m:r>
                              <a:rPr lang="en-US" sz="1000" b="0" i="1">
                                <a:latin typeface="Cambria Math" panose="02040503050406030204" pitchFamily="18" charset="0"/>
                              </a:rPr>
                              <m:t>𝐻</m:t>
                            </m:r>
                          </m:den>
                        </m:f>
                      </m:e>
                    </m:d>
                  </m:oMath>
                </m:oMathPara>
              </a14:m>
              <a:endParaRPr lang="en-US" sz="1100"/>
            </a:p>
          </xdr:txBody>
        </xdr:sp>
      </mc:Choice>
      <mc:Fallback xmlns="">
        <xdr:sp macro="" textlink="">
          <xdr:nvSpPr>
            <xdr:cNvPr id="7" name="TextBox 6">
              <a:extLst>
                <a:ext uri="{FF2B5EF4-FFF2-40B4-BE49-F238E27FC236}">
                  <a16:creationId xmlns:a16="http://schemas.microsoft.com/office/drawing/2014/main" id="{05DDB840-B52C-4C8D-B03C-17032CC1EE30}"/>
                </a:ext>
              </a:extLst>
            </xdr:cNvPr>
            <xdr:cNvSpPr txBox="1"/>
          </xdr:nvSpPr>
          <xdr:spPr>
            <a:xfrm>
              <a:off x="224118" y="10178676"/>
              <a:ext cx="2484077" cy="496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𝑅_𝑊=(2/(2𝐿_𝐶−𝐿_𝑡 ))(8𝑀_𝑏+8𝑀_𝑊+(𝑀_𝐶 𝐿_𝐶^2)/𝐻)</a:t>
              </a:r>
              <a:endParaRPr lang="en-US" sz="1100"/>
            </a:p>
          </xdr:txBody>
        </xdr:sp>
      </mc:Fallback>
    </mc:AlternateContent>
    <xdr:clientData/>
  </xdr:oneCellAnchor>
  <xdr:oneCellAnchor>
    <xdr:from>
      <xdr:col>0</xdr:col>
      <xdr:colOff>256802</xdr:colOff>
      <xdr:row>71</xdr:row>
      <xdr:rowOff>102720</xdr:rowOff>
    </xdr:from>
    <xdr:ext cx="2020956" cy="49695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256802" y="10603566"/>
              <a:ext cx="2020956" cy="496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num>
                      <m:den>
                        <m:r>
                          <a:rPr lang="en-US" sz="1000" b="0" i="1">
                            <a:latin typeface="Cambria Math" panose="02040503050406030204" pitchFamily="18" charset="0"/>
                          </a:rPr>
                          <m:t>2</m:t>
                        </m:r>
                      </m:den>
                    </m:f>
                    <m:r>
                      <a:rPr lang="en-US" sz="1000" b="0" i="1">
                        <a:latin typeface="Cambria Math" panose="02040503050406030204" pitchFamily="18" charset="0"/>
                      </a:rPr>
                      <m:t>+</m:t>
                    </m:r>
                    <m:rad>
                      <m:radPr>
                        <m:degHide m:val="on"/>
                        <m:ctrlPr>
                          <a:rPr lang="en-US" sz="1000" b="0" i="1">
                            <a:latin typeface="Cambria Math" panose="02040503050406030204" pitchFamily="18" charset="0"/>
                          </a:rPr>
                        </m:ctrlPr>
                      </m:radPr>
                      <m:deg/>
                      <m:e>
                        <m:sSup>
                          <m:sSupPr>
                            <m:ctrlPr>
                              <a:rPr lang="en-US" sz="1000" b="0" i="1">
                                <a:latin typeface="Cambria Math" panose="02040503050406030204" pitchFamily="18" charset="0"/>
                              </a:rPr>
                            </m:ctrlPr>
                          </m:sSupPr>
                          <m:e>
                            <m:d>
                              <m:dPr>
                                <m:ctrlPr>
                                  <a:rPr lang="en-US" sz="1000" b="0" i="1">
                                    <a:latin typeface="Cambria Math" panose="02040503050406030204" pitchFamily="18" charset="0"/>
                                  </a:rPr>
                                </m:ctrlPr>
                              </m:dPr>
                              <m:e>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𝑡</m:t>
                                        </m:r>
                                      </m:sub>
                                    </m:sSub>
                                  </m:num>
                                  <m:den>
                                    <m:r>
                                      <a:rPr lang="en-US" sz="1000" b="0" i="1">
                                        <a:latin typeface="Cambria Math" panose="02040503050406030204" pitchFamily="18" charset="0"/>
                                      </a:rPr>
                                      <m:t>2</m:t>
                                    </m:r>
                                  </m:den>
                                </m:f>
                              </m:e>
                            </m:d>
                          </m:e>
                          <m:sup>
                            <m:r>
                              <a:rPr lang="en-US" sz="1000" b="0" i="1">
                                <a:latin typeface="Cambria Math" panose="02040503050406030204" pitchFamily="18" charset="0"/>
                              </a:rPr>
                              <m:t>2</m:t>
                            </m:r>
                          </m:sup>
                        </m:sSup>
                        <m:r>
                          <a:rPr lang="en-US" sz="1000" b="0" i="1">
                            <a:latin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8</m:t>
                            </m:r>
                            <m:r>
                              <a:rPr lang="en-US" sz="1000" b="0" i="1">
                                <a:latin typeface="Cambria Math" panose="02040503050406030204" pitchFamily="18" charset="0"/>
                              </a:rPr>
                              <m:t>𝐻</m:t>
                            </m:r>
                            <m:d>
                              <m:dPr>
                                <m:ctrlPr>
                                  <a:rPr lang="en-US" sz="1000" b="0" i="1">
                                    <a:latin typeface="Cambria Math" panose="02040503050406030204" pitchFamily="18" charset="0"/>
                                  </a:rPr>
                                </m:ctrlPr>
                              </m:dPr>
                              <m:e>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𝑏</m:t>
                                    </m:r>
                                  </m:sub>
                                </m:sSub>
                                <m:r>
                                  <a:rPr lang="en-US" sz="1000" b="0" i="1">
                                    <a:latin typeface="Cambria Math" panose="02040503050406030204" pitchFamily="18" charset="0"/>
                                  </a:rPr>
                                  <m:t>+</m:t>
                                </m:r>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𝑊</m:t>
                                    </m:r>
                                  </m:sub>
                                </m:sSub>
                              </m:e>
                            </m:d>
                          </m:num>
                          <m:den>
                            <m:sSub>
                              <m:sSubPr>
                                <m:ctrlPr>
                                  <a:rPr lang="en-US" sz="1000" b="0" i="1">
                                    <a:latin typeface="Cambria Math" panose="02040503050406030204" pitchFamily="18" charset="0"/>
                                  </a:rPr>
                                </m:ctrlPr>
                              </m:sSubPr>
                              <m:e>
                                <m:r>
                                  <a:rPr lang="en-US" sz="1000" b="0" i="1">
                                    <a:latin typeface="Cambria Math" panose="02040503050406030204" pitchFamily="18" charset="0"/>
                                  </a:rPr>
                                  <m:t>𝑀</m:t>
                                </m:r>
                              </m:e>
                              <m:sub>
                                <m:r>
                                  <a:rPr lang="en-US" sz="1000" b="0" i="1">
                                    <a:latin typeface="Cambria Math" panose="02040503050406030204" pitchFamily="18" charset="0"/>
                                  </a:rPr>
                                  <m:t>𝐶</m:t>
                                </m:r>
                              </m:sub>
                            </m:sSub>
                          </m:den>
                        </m:f>
                      </m:e>
                    </m:rad>
                  </m:oMath>
                </m:oMathPara>
              </a14:m>
              <a:endParaRPr lang="en-US" sz="1000"/>
            </a:p>
          </xdr:txBody>
        </xdr:sp>
      </mc:Choice>
      <mc:Fallback xmlns="">
        <xdr:sp macro="" textlink="">
          <xdr:nvSpPr>
            <xdr:cNvPr id="8" name="TextBox 7">
              <a:extLst>
                <a:ext uri="{FF2B5EF4-FFF2-40B4-BE49-F238E27FC236}">
                  <a16:creationId xmlns:a16="http://schemas.microsoft.com/office/drawing/2014/main" id="{DF1CC656-7052-4FDF-8AF3-6F9F2C6FA1DB}"/>
                </a:ext>
              </a:extLst>
            </xdr:cNvPr>
            <xdr:cNvSpPr txBox="1"/>
          </xdr:nvSpPr>
          <xdr:spPr>
            <a:xfrm>
              <a:off x="256802" y="10603566"/>
              <a:ext cx="2020956" cy="496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𝐿_𝐶=𝐿_𝑡/2+√((𝐿_𝑡/2)^2+8𝐻(𝑀_𝑏+𝑀_𝑊 )/𝑀_𝐶 )</a:t>
              </a:r>
              <a:endParaRPr lang="en-US" sz="1000"/>
            </a:p>
          </xdr:txBody>
        </xdr:sp>
      </mc:Fallback>
    </mc:AlternateContent>
    <xdr:clientData/>
  </xdr:oneCellAnchor>
  <xdr:oneCellAnchor>
    <xdr:from>
      <xdr:col>3</xdr:col>
      <xdr:colOff>18676</xdr:colOff>
      <xdr:row>94</xdr:row>
      <xdr:rowOff>28015</xdr:rowOff>
    </xdr:from>
    <xdr:ext cx="1515717" cy="3810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601507" y="13624486"/>
              <a:ext cx="1515717"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r"/>
              <a14:m>
                <m:oMathPara xmlns:m="http://schemas.openxmlformats.org/officeDocument/2006/math">
                  <m:oMathParaPr>
                    <m:jc m:val="right"/>
                  </m:oMathParaPr>
                  <m:oMath xmlns:m="http://schemas.openxmlformats.org/officeDocument/2006/math">
                    <m:r>
                      <a:rPr lang="en-US" sz="1000" b="0" i="1">
                        <a:latin typeface="Cambria Math" panose="02040503050406030204" pitchFamily="18" charset="0"/>
                      </a:rPr>
                      <m:t>𝐶h𝑒𝑐𝑘</m:t>
                    </m:r>
                    <m:r>
                      <a:rPr lang="en-US" sz="1000" b="0" i="1">
                        <a:latin typeface="Cambria Math" panose="02040503050406030204" pitchFamily="18" charset="0"/>
                      </a:rPr>
                      <m:t>       </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𝑣𝑓</m:t>
                        </m:r>
                      </m:sub>
                    </m:sSub>
                    <m:r>
                      <a:rPr lang="en-US" sz="1000" b="0" i="1">
                        <a:latin typeface="Cambria Math" panose="02040503050406030204" pitchFamily="18" charset="0"/>
                        <a:ea typeface="Cambria Math" panose="02040503050406030204" pitchFamily="18" charset="0"/>
                      </a:rPr>
                      <m:t>≥</m:t>
                    </m:r>
                    <m:f>
                      <m:fPr>
                        <m:ctrlPr>
                          <a:rPr lang="en-US" sz="1000" b="0" i="1">
                            <a:latin typeface="Cambria Math" panose="02040503050406030204" pitchFamily="18" charset="0"/>
                          </a:rPr>
                        </m:ctrlPr>
                      </m:fPr>
                      <m:num>
                        <m:r>
                          <a:rPr lang="en-US" sz="1000" b="0" i="1">
                            <a:latin typeface="Cambria Math" panose="02040503050406030204" pitchFamily="18" charset="0"/>
                          </a:rPr>
                          <m:t>0.05</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𝑐𝑣</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𝑓</m:t>
                            </m:r>
                          </m:e>
                          <m:sub>
                            <m:r>
                              <a:rPr lang="en-US" sz="1000" b="0" i="1">
                                <a:latin typeface="Cambria Math" panose="02040503050406030204" pitchFamily="18" charset="0"/>
                              </a:rPr>
                              <m:t>𝑦</m:t>
                            </m:r>
                          </m:sub>
                        </m:sSub>
                      </m:den>
                    </m:f>
                    <m:r>
                      <a:rPr lang="en-US" sz="1000" b="0" i="1">
                        <a:latin typeface="Cambria Math" panose="02040503050406030204" pitchFamily="18" charset="0"/>
                      </a:rPr>
                      <m:t>=</m:t>
                    </m:r>
                  </m:oMath>
                </m:oMathPara>
              </a14:m>
              <a:endParaRPr lang="en-US" sz="1100"/>
            </a:p>
          </xdr:txBody>
        </xdr:sp>
      </mc:Choice>
      <mc:Fallback xmlns="">
        <xdr:sp macro="" textlink="">
          <xdr:nvSpPr>
            <xdr:cNvPr id="9" name="TextBox 8">
              <a:extLst>
                <a:ext uri="{FF2B5EF4-FFF2-40B4-BE49-F238E27FC236}">
                  <a16:creationId xmlns:a16="http://schemas.microsoft.com/office/drawing/2014/main" id="{84D652B2-911F-4692-89CD-F84FBFBBE5DB}"/>
                </a:ext>
              </a:extLst>
            </xdr:cNvPr>
            <xdr:cNvSpPr txBox="1"/>
          </xdr:nvSpPr>
          <xdr:spPr>
            <a:xfrm>
              <a:off x="1601507" y="13624486"/>
              <a:ext cx="1515717"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r"/>
              <a:r>
                <a:rPr lang="en-US" sz="1000" b="0" i="0">
                  <a:latin typeface="Cambria Math" panose="02040503050406030204" pitchFamily="18" charset="0"/>
                </a:rPr>
                <a:t>𝐶ℎ𝑒𝑐𝑘       𝐴_𝑣𝑓</a:t>
              </a:r>
              <a:r>
                <a:rPr lang="en-US" sz="1000" b="0" i="0">
                  <a:latin typeface="Cambria Math" panose="02040503050406030204" pitchFamily="18" charset="0"/>
                  <a:ea typeface="Cambria Math" panose="02040503050406030204" pitchFamily="18" charset="0"/>
                </a:rPr>
                <a:t>≥</a:t>
              </a:r>
              <a:r>
                <a:rPr lang="en-US" sz="1000" b="0" i="0">
                  <a:latin typeface="Cambria Math" panose="02040503050406030204" pitchFamily="18" charset="0"/>
                </a:rPr>
                <a:t>(0.05𝐴_𝑐𝑣)/𝑓_𝑦 =</a:t>
              </a:r>
              <a:endParaRPr lang="en-US" sz="1100"/>
            </a:p>
          </xdr:txBody>
        </xdr:sp>
      </mc:Fallback>
    </mc:AlternateContent>
    <xdr:clientData/>
  </xdr:oneCellAnchor>
  <xdr:twoCellAnchor editAs="oneCell">
    <xdr:from>
      <xdr:col>1</xdr:col>
      <xdr:colOff>18676</xdr:colOff>
      <xdr:row>103</xdr:row>
      <xdr:rowOff>65367</xdr:rowOff>
    </xdr:from>
    <xdr:to>
      <xdr:col>1</xdr:col>
      <xdr:colOff>200895</xdr:colOff>
      <xdr:row>107</xdr:row>
      <xdr:rowOff>90420</xdr:rowOff>
    </xdr:to>
    <xdr:sp macro="" textlink="">
      <xdr:nvSpPr>
        <xdr:cNvPr id="10" name="Left Brace 9">
          <a:extLst>
            <a:ext uri="{FF2B5EF4-FFF2-40B4-BE49-F238E27FC236}">
              <a16:creationId xmlns:a16="http://schemas.microsoft.com/office/drawing/2014/main" id="{00000000-0008-0000-0200-00000A000000}"/>
            </a:ext>
          </a:extLst>
        </xdr:cNvPr>
        <xdr:cNvSpPr/>
      </xdr:nvSpPr>
      <xdr:spPr>
        <a:xfrm>
          <a:off x="546286" y="15113933"/>
          <a:ext cx="182219" cy="604024"/>
        </a:xfrm>
        <a:prstGeom prst="leftBrace">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364191</xdr:colOff>
      <xdr:row>103</xdr:row>
      <xdr:rowOff>135404</xdr:rowOff>
    </xdr:from>
    <xdr:to>
      <xdr:col>2</xdr:col>
      <xdr:colOff>478353</xdr:colOff>
      <xdr:row>105</xdr:row>
      <xdr:rowOff>2436</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891801" y="15183970"/>
              <a:ext cx="641773"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𝐾</m:t>
                        </m:r>
                      </m:e>
                      <m:sub>
                        <m:r>
                          <a:rPr lang="en-US" sz="1000" b="0" i="1">
                            <a:latin typeface="Cambria Math" panose="02040503050406030204" pitchFamily="18" charset="0"/>
                            <a:ea typeface="Cambria Math" panose="02040503050406030204" pitchFamily="18" charset="0"/>
                          </a:rPr>
                          <m:t>1</m:t>
                        </m:r>
                      </m:sub>
                    </m:sSub>
                    <m:sSubSup>
                      <m:sSubSupPr>
                        <m:ctrlPr>
                          <a:rPr lang="en-US" sz="1000" i="1">
                            <a:latin typeface="Cambria Math" panose="02040503050406030204" pitchFamily="18" charset="0"/>
                            <a:ea typeface="Cambria Math" panose="02040503050406030204" pitchFamily="18" charset="0"/>
                          </a:rPr>
                        </m:ctrlPr>
                      </m:sSubSup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𝑐</m:t>
                        </m:r>
                      </m:sub>
                      <m:sup>
                        <m:r>
                          <a:rPr lang="en-US" sz="1000" b="0" i="1">
                            <a:latin typeface="Cambria Math" panose="02040503050406030204" pitchFamily="18" charset="0"/>
                            <a:ea typeface="Cambria Math" panose="02040503050406030204" pitchFamily="18" charset="0"/>
                          </a:rPr>
                          <m:t>′</m:t>
                        </m:r>
                      </m:sup>
                    </m:sSubSup>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𝐶𝑉</m:t>
                        </m:r>
                      </m:sub>
                    </m:sSub>
                    <m:r>
                      <a:rPr lang="en-US" sz="10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92819994-027B-4CE4-8A80-7DA9C07F859D}"/>
                </a:ext>
              </a:extLst>
            </xdr:cNvPr>
            <xdr:cNvSpPr txBox="1"/>
          </xdr:nvSpPr>
          <xdr:spPr>
            <a:xfrm>
              <a:off x="891801" y="15183970"/>
              <a:ext cx="641773"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ea typeface="Cambria Math" panose="02040503050406030204" pitchFamily="18" charset="0"/>
                </a:rPr>
                <a:t>𝐾_1 𝑓_𝑐^′ 𝐴_𝐶𝑉=</a:t>
              </a:r>
              <a:endParaRPr lang="en-US" sz="1100"/>
            </a:p>
          </xdr:txBody>
        </xdr:sp>
      </mc:Fallback>
    </mc:AlternateContent>
    <xdr:clientData/>
  </xdr:twoCellAnchor>
  <xdr:twoCellAnchor editAs="oneCell">
    <xdr:from>
      <xdr:col>1</xdr:col>
      <xdr:colOff>471582</xdr:colOff>
      <xdr:row>104</xdr:row>
      <xdr:rowOff>140073</xdr:rowOff>
    </xdr:from>
    <xdr:to>
      <xdr:col>2</xdr:col>
      <xdr:colOff>471675</xdr:colOff>
      <xdr:row>106</xdr:row>
      <xdr:rowOff>9666</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999192" y="15333382"/>
              <a:ext cx="527704" cy="159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𝐾</m:t>
                        </m:r>
                      </m:e>
                      <m:sub>
                        <m:r>
                          <a:rPr lang="en-US" sz="1000" b="0" i="1">
                            <a:latin typeface="Cambria Math" panose="02040503050406030204" pitchFamily="18" charset="0"/>
                            <a:ea typeface="Cambria Math" panose="02040503050406030204" pitchFamily="18" charset="0"/>
                          </a:rPr>
                          <m:t>2</m:t>
                        </m:r>
                      </m:sub>
                    </m:sSub>
                    <m:sSub>
                      <m:sSubPr>
                        <m:ctrlPr>
                          <a:rPr lang="en-US" sz="100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𝐶𝑉</m:t>
                        </m:r>
                      </m:sub>
                    </m:sSub>
                    <m:r>
                      <a:rPr lang="en-US" sz="1000" b="0" i="0">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198D614C-9F2A-4F09-94B3-B1EA7C1F8EA1}"/>
                </a:ext>
              </a:extLst>
            </xdr:cNvPr>
            <xdr:cNvSpPr txBox="1"/>
          </xdr:nvSpPr>
          <xdr:spPr>
            <a:xfrm>
              <a:off x="999192" y="15333382"/>
              <a:ext cx="527704" cy="159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ea typeface="Cambria Math" panose="02040503050406030204" pitchFamily="18" charset="0"/>
                </a:rPr>
                <a:t>𝐾_2 𝐴_𝐶𝑉=</a:t>
              </a:r>
              <a:endParaRPr lang="en-US" sz="1100"/>
            </a:p>
          </xdr:txBody>
        </xdr:sp>
      </mc:Fallback>
    </mc:AlternateContent>
    <xdr:clientData/>
  </xdr:twoCellAnchor>
  <xdr:twoCellAnchor editAs="oneCell">
    <xdr:from>
      <xdr:col>1</xdr:col>
      <xdr:colOff>149412</xdr:colOff>
      <xdr:row>105</xdr:row>
      <xdr:rowOff>126067</xdr:rowOff>
    </xdr:from>
    <xdr:to>
      <xdr:col>4</xdr:col>
      <xdr:colOff>48379</xdr:colOff>
      <xdr:row>107</xdr:row>
      <xdr:rowOff>37924</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77022" y="15464118"/>
              <a:ext cx="1481798" cy="201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𝑐</m:t>
                    </m:r>
                    <m:sSub>
                      <m:sSubPr>
                        <m:ctrlPr>
                          <a:rPr lang="en-US" sz="1000" b="0" i="1">
                            <a:latin typeface="Cambria Math" panose="02040503050406030204" pitchFamily="18" charset="0"/>
                          </a:rPr>
                        </m:ctrlPr>
                      </m:sSubPr>
                      <m:e>
                        <m:r>
                          <a:rPr lang="en-US" sz="1000" b="0" i="1">
                            <a:latin typeface="Cambria Math" panose="02040503050406030204" pitchFamily="18" charset="0"/>
                          </a:rPr>
                          <m:t>𝐴</m:t>
                        </m:r>
                      </m:e>
                      <m:sub>
                        <m:r>
                          <a:rPr lang="en-US" sz="1000" b="0" i="1">
                            <a:latin typeface="Cambria Math" panose="02040503050406030204" pitchFamily="18" charset="0"/>
                          </a:rPr>
                          <m:t>𝐶𝑉</m:t>
                        </m:r>
                      </m:sub>
                    </m:sSub>
                    <m:r>
                      <a:rPr lang="en-US" sz="1000" b="0" i="1">
                        <a:latin typeface="Cambria Math" panose="02040503050406030204" pitchFamily="18" charset="0"/>
                      </a:rPr>
                      <m:t>+</m:t>
                    </m:r>
                    <m:r>
                      <a:rPr lang="en-US" sz="1000" b="0" i="1">
                        <a:latin typeface="Cambria Math" panose="02040503050406030204" pitchFamily="18" charset="0"/>
                        <a:ea typeface="Cambria Math" panose="02040503050406030204" pitchFamily="18" charset="0"/>
                      </a:rPr>
                      <m:t>𝜇</m:t>
                    </m:r>
                    <m:d>
                      <m:dPr>
                        <m:ctrlPr>
                          <a:rPr lang="en-US" sz="1000" b="0" i="1">
                            <a:latin typeface="Cambria Math" panose="02040503050406030204" pitchFamily="18" charset="0"/>
                            <a:ea typeface="Cambria Math" panose="02040503050406030204" pitchFamily="18" charset="0"/>
                          </a:rPr>
                        </m:ctrlPr>
                      </m:dPr>
                      <m:e>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𝐴</m:t>
                            </m:r>
                          </m:e>
                          <m:sub>
                            <m:r>
                              <a:rPr lang="en-US" sz="1000" b="0" i="1">
                                <a:latin typeface="Cambria Math" panose="02040503050406030204" pitchFamily="18" charset="0"/>
                                <a:ea typeface="Cambria Math" panose="02040503050406030204" pitchFamily="18" charset="0"/>
                              </a:rPr>
                              <m:t>𝑉𝐹</m:t>
                            </m:r>
                          </m:sub>
                        </m:sSub>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𝑓</m:t>
                            </m:r>
                          </m:e>
                          <m:sub>
                            <m:r>
                              <a:rPr lang="en-US" sz="1000" b="0" i="1">
                                <a:latin typeface="Cambria Math" panose="02040503050406030204" pitchFamily="18" charset="0"/>
                                <a:ea typeface="Cambria Math" panose="02040503050406030204" pitchFamily="18" charset="0"/>
                              </a:rPr>
                              <m:t>𝑦</m:t>
                            </m:r>
                          </m:sub>
                        </m:sSub>
                        <m:r>
                          <a:rPr lang="en-US" sz="1000" b="0" i="1">
                            <a:latin typeface="Cambria Math" panose="02040503050406030204" pitchFamily="18" charset="0"/>
                            <a:ea typeface="Cambria Math" panose="02040503050406030204" pitchFamily="18" charset="0"/>
                          </a:rPr>
                          <m:t>+</m:t>
                        </m:r>
                        <m:sSub>
                          <m:sSubPr>
                            <m:ctrlPr>
                              <a:rPr lang="en-US" sz="1000" b="0" i="1">
                                <a:latin typeface="Cambria Math" panose="02040503050406030204" pitchFamily="18" charset="0"/>
                                <a:ea typeface="Cambria Math" panose="02040503050406030204" pitchFamily="18" charset="0"/>
                              </a:rPr>
                            </m:ctrlPr>
                          </m:sSubPr>
                          <m:e>
                            <m:r>
                              <a:rPr lang="en-US" sz="1000" b="0" i="1">
                                <a:latin typeface="Cambria Math" panose="02040503050406030204" pitchFamily="18" charset="0"/>
                                <a:ea typeface="Cambria Math" panose="02040503050406030204" pitchFamily="18" charset="0"/>
                              </a:rPr>
                              <m:t>𝑃</m:t>
                            </m:r>
                          </m:e>
                          <m:sub>
                            <m:r>
                              <a:rPr lang="en-US" sz="1000" b="0" i="1">
                                <a:latin typeface="Cambria Math" panose="02040503050406030204" pitchFamily="18" charset="0"/>
                                <a:ea typeface="Cambria Math" panose="02040503050406030204" pitchFamily="18" charset="0"/>
                              </a:rPr>
                              <m:t>𝐶</m:t>
                            </m:r>
                          </m:sub>
                        </m:sSub>
                      </m:e>
                    </m:d>
                    <m:r>
                      <a:rPr lang="en-US" sz="1000" b="0" i="1">
                        <a:latin typeface="Cambria Math" panose="02040503050406030204" pitchFamily="18" charset="0"/>
                        <a:ea typeface="Cambria Math" panose="02040503050406030204" pitchFamily="18" charset="0"/>
                      </a:rPr>
                      <m:t>=</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D976ABB9-38F4-4FD8-8C7D-290DD3274005}"/>
                </a:ext>
              </a:extLst>
            </xdr:cNvPr>
            <xdr:cNvSpPr txBox="1"/>
          </xdr:nvSpPr>
          <xdr:spPr>
            <a:xfrm>
              <a:off x="677022" y="15464118"/>
              <a:ext cx="1481798" cy="201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000" b="0" i="0">
                  <a:latin typeface="Cambria Math" panose="02040503050406030204" pitchFamily="18" charset="0"/>
                </a:rPr>
                <a:t>𝑐𝐴_𝐶𝑉+</a:t>
              </a:r>
              <a:r>
                <a:rPr lang="en-US" sz="1000" b="0" i="0">
                  <a:latin typeface="Cambria Math" panose="02040503050406030204" pitchFamily="18" charset="0"/>
                  <a:ea typeface="Cambria Math" panose="02040503050406030204" pitchFamily="18" charset="0"/>
                </a:rPr>
                <a:t>𝜇(𝐴_𝑉𝐹 𝑓_𝑦+𝑃_𝐶 )=</a:t>
              </a:r>
              <a:endParaRPr lang="en-US" sz="1100"/>
            </a:p>
          </xdr:txBody>
        </xdr:sp>
      </mc:Fallback>
    </mc:AlternateContent>
    <xdr:clientData/>
  </xdr:twoCellAnchor>
  <xdr:oneCellAnchor>
    <xdr:from>
      <xdr:col>6</xdr:col>
      <xdr:colOff>18677</xdr:colOff>
      <xdr:row>110</xdr:row>
      <xdr:rowOff>37353</xdr:rowOff>
    </xdr:from>
    <xdr:ext cx="1010478" cy="381001"/>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3184339" y="15954375"/>
              <a:ext cx="1010478"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right"/>
                  </m:oMathParaPr>
                  <m:oMath xmlns:m="http://schemas.openxmlformats.org/officeDocument/2006/math">
                    <m:sSub>
                      <m:sSubPr>
                        <m:ctrlPr>
                          <a:rPr lang="en-US" sz="1000" i="1">
                            <a:latin typeface="Cambria Math" panose="02040503050406030204" pitchFamily="18" charset="0"/>
                          </a:rPr>
                        </m:ctrlPr>
                      </m:sSubPr>
                      <m:e>
                        <m:r>
                          <a:rPr lang="en-US" sz="1000" b="0" i="1">
                            <a:latin typeface="Cambria Math" panose="02040503050406030204" pitchFamily="18" charset="0"/>
                          </a:rPr>
                          <m:t>𝑉</m:t>
                        </m:r>
                      </m:e>
                      <m:sub>
                        <m:r>
                          <a:rPr lang="en-US" sz="1000" b="0" i="1">
                            <a:latin typeface="Cambria Math" panose="02040503050406030204" pitchFamily="18" charset="0"/>
                          </a:rPr>
                          <m:t>𝑢</m:t>
                        </m:r>
                      </m:sub>
                    </m:sSub>
                    <m:r>
                      <a:rPr lang="en-US" sz="1000" b="0" i="1">
                        <a:latin typeface="Cambria Math" panose="02040503050406030204" pitchFamily="18" charset="0"/>
                      </a:rPr>
                      <m:t>=</m:t>
                    </m:r>
                    <m:f>
                      <m:fPr>
                        <m:ctrlPr>
                          <a:rPr lang="en-US" sz="1000" b="0" i="1">
                            <a:latin typeface="Cambria Math" panose="02040503050406030204" pitchFamily="18" charset="0"/>
                          </a:rPr>
                        </m:ctrlPr>
                      </m:fPr>
                      <m:num>
                        <m:sSub>
                          <m:sSubPr>
                            <m:ctrlPr>
                              <a:rPr lang="en-US" sz="1000" b="0" i="1">
                                <a:latin typeface="Cambria Math" panose="02040503050406030204" pitchFamily="18" charset="0"/>
                              </a:rPr>
                            </m:ctrlPr>
                          </m:sSubPr>
                          <m:e>
                            <m:r>
                              <a:rPr lang="en-US" sz="1000" b="0" i="1">
                                <a:latin typeface="Cambria Math" panose="02040503050406030204" pitchFamily="18" charset="0"/>
                              </a:rPr>
                              <m:t>𝑅</m:t>
                            </m:r>
                          </m:e>
                          <m:sub>
                            <m:r>
                              <a:rPr lang="en-US" sz="1000" b="0" i="1">
                                <a:latin typeface="Cambria Math" panose="02040503050406030204" pitchFamily="18" charset="0"/>
                              </a:rPr>
                              <m:t>𝑊</m:t>
                            </m:r>
                          </m:sub>
                        </m:sSub>
                      </m:num>
                      <m:den>
                        <m:sSub>
                          <m:sSubPr>
                            <m:ctrlPr>
                              <a:rPr lang="en-US" sz="1000" b="0" i="1">
                                <a:latin typeface="Cambria Math" panose="02040503050406030204" pitchFamily="18" charset="0"/>
                              </a:rPr>
                            </m:ctrlPr>
                          </m:sSubPr>
                          <m:e>
                            <m:r>
                              <a:rPr lang="en-US" sz="1000" b="0" i="1">
                                <a:latin typeface="Cambria Math" panose="02040503050406030204" pitchFamily="18" charset="0"/>
                              </a:rPr>
                              <m:t>𝐿</m:t>
                            </m:r>
                          </m:e>
                          <m:sub>
                            <m:r>
                              <a:rPr lang="en-US" sz="1000" b="0" i="1">
                                <a:latin typeface="Cambria Math" panose="02040503050406030204" pitchFamily="18" charset="0"/>
                              </a:rPr>
                              <m:t>𝐶</m:t>
                            </m:r>
                          </m:sub>
                        </m:sSub>
                      </m:den>
                    </m:f>
                    <m:r>
                      <a:rPr lang="en-US" sz="1000" b="0" i="1">
                        <a:latin typeface="Cambria Math" panose="02040503050406030204" pitchFamily="18" charset="0"/>
                      </a:rPr>
                      <m:t>=</m:t>
                    </m:r>
                  </m:oMath>
                </m:oMathPara>
              </a14:m>
              <a:endParaRPr lang="en-US" sz="1000"/>
            </a:p>
          </xdr:txBody>
        </xdr:sp>
      </mc:Choice>
      <mc:Fallback xmlns="">
        <xdr:sp macro="" textlink="">
          <xdr:nvSpPr>
            <xdr:cNvPr id="14" name="TextBox 13">
              <a:extLst>
                <a:ext uri="{FF2B5EF4-FFF2-40B4-BE49-F238E27FC236}">
                  <a16:creationId xmlns:a16="http://schemas.microsoft.com/office/drawing/2014/main" id="{47BF1E07-DA24-45D7-8212-93B2BEE37138}"/>
                </a:ext>
              </a:extLst>
            </xdr:cNvPr>
            <xdr:cNvSpPr txBox="1"/>
          </xdr:nvSpPr>
          <xdr:spPr>
            <a:xfrm>
              <a:off x="3184339" y="15954375"/>
              <a:ext cx="1010478"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000" b="0" i="0">
                  <a:latin typeface="Cambria Math" panose="02040503050406030204" pitchFamily="18" charset="0"/>
                </a:rPr>
                <a:t>𝑉_𝑢=𝑅_𝑊/𝐿_𝐶 =</a:t>
              </a:r>
              <a:endParaRPr lang="en-US" sz="10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Library/Containers/com.microsoft.Excel/Data/Documents/C:/Users/rasmussens/Documents/Projects/23061%20SH64%20Bridge%20Replacement/Design%20Calculations/Preliminary/23061%20-%20D-04-GA-%20Deck%20Desig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62"/>
  <sheetViews>
    <sheetView topLeftCell="A177" zoomScaleNormal="100" zoomScaleSheetLayoutView="115" workbookViewId="0">
      <selection activeCell="Q205" sqref="Q205"/>
    </sheetView>
  </sheetViews>
  <sheetFormatPr defaultColWidth="8.85546875" defaultRowHeight="12"/>
  <cols>
    <col min="1" max="4" width="8.85546875" style="2"/>
    <col min="5" max="5" width="9.42578125" style="2" bestFit="1" customWidth="1"/>
    <col min="6" max="6" width="7.85546875" style="2" customWidth="1"/>
    <col min="7" max="8" width="8.85546875" style="2"/>
    <col min="9" max="10" width="10.42578125" style="2" bestFit="1" customWidth="1"/>
    <col min="11" max="11" width="10" style="2" customWidth="1"/>
    <col min="12" max="16384" width="8.85546875" style="2"/>
  </cols>
  <sheetData>
    <row r="1" spans="1:10" ht="15.75">
      <c r="J1" s="14" t="s">
        <v>365</v>
      </c>
    </row>
    <row r="2" spans="1:10" ht="15.75">
      <c r="J2" s="14" t="s">
        <v>439</v>
      </c>
    </row>
    <row r="3" spans="1:10" ht="15.75">
      <c r="J3" s="14" t="s">
        <v>366</v>
      </c>
    </row>
    <row r="4" spans="1:10" ht="15.75">
      <c r="J4" s="14"/>
    </row>
    <row r="5" spans="1:10" ht="12.75">
      <c r="A5" s="1" t="s">
        <v>50</v>
      </c>
    </row>
    <row r="6" spans="1:10">
      <c r="A6" s="2" t="s">
        <v>369</v>
      </c>
    </row>
    <row r="7" spans="1:10">
      <c r="B7" s="2" t="s">
        <v>361</v>
      </c>
    </row>
    <row r="8" spans="1:10">
      <c r="B8" s="2" t="s">
        <v>362</v>
      </c>
    </row>
    <row r="9" spans="1:10">
      <c r="B9" s="2" t="s">
        <v>363</v>
      </c>
    </row>
    <row r="10" spans="1:10">
      <c r="A10" s="156" t="s">
        <v>364</v>
      </c>
      <c r="B10" s="157"/>
      <c r="C10" s="157"/>
      <c r="D10" s="157"/>
      <c r="E10" s="157"/>
      <c r="F10" s="157"/>
      <c r="G10" s="157"/>
      <c r="H10" s="157"/>
      <c r="I10" s="157"/>
      <c r="J10" s="157"/>
    </row>
    <row r="11" spans="1:10">
      <c r="A11" s="157"/>
      <c r="B11" s="157"/>
      <c r="C11" s="157"/>
      <c r="D11" s="157"/>
      <c r="E11" s="157"/>
      <c r="F11" s="157"/>
      <c r="G11" s="157"/>
      <c r="H11" s="157"/>
      <c r="I11" s="157"/>
      <c r="J11" s="157"/>
    </row>
    <row r="12" spans="1:10">
      <c r="A12" s="13"/>
      <c r="B12" s="13"/>
      <c r="C12" s="13"/>
      <c r="D12" s="13"/>
      <c r="E12" s="13"/>
      <c r="F12" s="13"/>
      <c r="G12" s="13"/>
      <c r="H12" s="13"/>
      <c r="I12" s="13"/>
      <c r="J12" s="13"/>
    </row>
    <row r="33" spans="1:10" ht="12.75">
      <c r="A33" s="1" t="s">
        <v>368</v>
      </c>
    </row>
    <row r="34" spans="1:10">
      <c r="A34" s="2" t="s">
        <v>0</v>
      </c>
      <c r="E34" s="168" t="s">
        <v>29</v>
      </c>
      <c r="F34" s="168"/>
      <c r="G34" s="168"/>
    </row>
    <row r="35" spans="1:10" ht="13.5">
      <c r="A35" s="2" t="s">
        <v>1</v>
      </c>
      <c r="E35" s="2" t="s">
        <v>370</v>
      </c>
      <c r="F35" s="136">
        <v>11</v>
      </c>
      <c r="G35" s="2" t="s">
        <v>26</v>
      </c>
    </row>
    <row r="36" spans="1:10" ht="13.5">
      <c r="A36" s="2" t="s">
        <v>2</v>
      </c>
      <c r="E36" s="2" t="s">
        <v>371</v>
      </c>
      <c r="F36" s="131">
        <v>4</v>
      </c>
      <c r="G36" s="2" t="s">
        <v>27</v>
      </c>
    </row>
    <row r="37" spans="1:10" ht="13.5">
      <c r="A37" s="2" t="s">
        <v>3</v>
      </c>
      <c r="E37" s="2" t="s">
        <v>372</v>
      </c>
      <c r="F37" s="136">
        <v>43</v>
      </c>
      <c r="G37" s="2" t="s">
        <v>26</v>
      </c>
    </row>
    <row r="38" spans="1:10" ht="13.5">
      <c r="A38" s="2" t="s">
        <v>4</v>
      </c>
      <c r="E38" s="2" t="s">
        <v>373</v>
      </c>
      <c r="F38" s="131">
        <v>8</v>
      </c>
      <c r="G38" s="2" t="s">
        <v>28</v>
      </c>
    </row>
    <row r="39" spans="1:10" ht="13.5">
      <c r="A39" s="2" t="s">
        <v>5</v>
      </c>
      <c r="E39" s="2" t="s">
        <v>374</v>
      </c>
      <c r="F39" s="110">
        <f>(8+9+12)/3</f>
        <v>9.6666666666666661</v>
      </c>
      <c r="G39" s="2" t="s">
        <v>28</v>
      </c>
    </row>
    <row r="40" spans="1:10" ht="13.5">
      <c r="A40" s="2" t="s">
        <v>6</v>
      </c>
      <c r="E40" s="2" t="s">
        <v>375</v>
      </c>
      <c r="F40" s="136">
        <v>2</v>
      </c>
      <c r="G40" s="2" t="s">
        <v>28</v>
      </c>
      <c r="J40" s="4" t="s">
        <v>40</v>
      </c>
    </row>
    <row r="41" spans="1:10" ht="13.5">
      <c r="A41" s="2" t="s">
        <v>7</v>
      </c>
      <c r="E41" s="2" t="s">
        <v>376</v>
      </c>
      <c r="F41" s="136">
        <v>1</v>
      </c>
      <c r="G41" s="2" t="s">
        <v>28</v>
      </c>
      <c r="J41" s="4" t="s">
        <v>39</v>
      </c>
    </row>
    <row r="42" spans="1:10" ht="13.5">
      <c r="A42" s="2" t="s">
        <v>8</v>
      </c>
      <c r="E42" s="2" t="s">
        <v>377</v>
      </c>
      <c r="F42" s="136">
        <v>3</v>
      </c>
      <c r="G42" s="2" t="s">
        <v>28</v>
      </c>
    </row>
    <row r="44" spans="1:10" ht="13.5">
      <c r="A44" s="2" t="s">
        <v>9</v>
      </c>
      <c r="E44" s="2" t="s">
        <v>378</v>
      </c>
      <c r="F44" s="131">
        <v>4.5</v>
      </c>
      <c r="G44" s="2" t="s">
        <v>32</v>
      </c>
    </row>
    <row r="45" spans="1:10" ht="13.5">
      <c r="A45" s="2" t="s">
        <v>10</v>
      </c>
      <c r="E45" s="2" t="s">
        <v>379</v>
      </c>
      <c r="F45" s="136">
        <v>60</v>
      </c>
      <c r="G45" s="2" t="s">
        <v>46</v>
      </c>
    </row>
    <row r="46" spans="1:10" ht="13.5">
      <c r="A46" s="2" t="s">
        <v>11</v>
      </c>
      <c r="E46" s="2" t="s">
        <v>380</v>
      </c>
      <c r="F46" s="137">
        <v>0.15</v>
      </c>
      <c r="G46" s="2" t="s">
        <v>33</v>
      </c>
    </row>
    <row r="47" spans="1:10" ht="13.5">
      <c r="A47" s="2" t="s">
        <v>12</v>
      </c>
      <c r="E47" s="2" t="s">
        <v>381</v>
      </c>
      <c r="F47" s="137">
        <v>0.14666999999999999</v>
      </c>
      <c r="G47" s="2" t="s">
        <v>33</v>
      </c>
      <c r="J47" s="4" t="s">
        <v>44</v>
      </c>
    </row>
    <row r="48" spans="1:10" ht="13.5">
      <c r="A48" s="2" t="s">
        <v>13</v>
      </c>
      <c r="E48" s="2" t="s">
        <v>382</v>
      </c>
      <c r="F48" s="131">
        <v>5.0000000000000001E-3</v>
      </c>
      <c r="G48" s="2" t="s">
        <v>34</v>
      </c>
      <c r="J48" s="4" t="s">
        <v>45</v>
      </c>
    </row>
    <row r="49" spans="1:10" ht="13.5">
      <c r="A49" s="2" t="s">
        <v>14</v>
      </c>
      <c r="E49" s="2" t="s">
        <v>383</v>
      </c>
      <c r="F49" s="131">
        <v>0.9</v>
      </c>
      <c r="G49" s="2" t="s">
        <v>35</v>
      </c>
    </row>
    <row r="50" spans="1:10" ht="13.5">
      <c r="E50" s="2" t="s">
        <v>384</v>
      </c>
      <c r="F50" s="136">
        <v>1</v>
      </c>
      <c r="G50" s="2" t="s">
        <v>36</v>
      </c>
    </row>
    <row r="51" spans="1:10" ht="13.5">
      <c r="A51" s="2" t="s">
        <v>15</v>
      </c>
      <c r="E51" s="2" t="s">
        <v>385</v>
      </c>
      <c r="F51" s="131">
        <v>1</v>
      </c>
    </row>
    <row r="52" spans="1:10" ht="13.5">
      <c r="A52" s="2" t="s">
        <v>16</v>
      </c>
      <c r="E52" s="2" t="s">
        <v>386</v>
      </c>
      <c r="F52" s="136">
        <v>29000</v>
      </c>
      <c r="G52" s="2" t="s">
        <v>32</v>
      </c>
      <c r="J52" s="4" t="s">
        <v>41</v>
      </c>
    </row>
    <row r="53" spans="1:10" ht="13.5">
      <c r="A53" s="2" t="s">
        <v>17</v>
      </c>
      <c r="E53" s="2" t="s">
        <v>387</v>
      </c>
      <c r="F53" s="136">
        <f>120000*F51*F46^2*F44^0.33</f>
        <v>4435.3091222225848</v>
      </c>
      <c r="G53" s="2" t="s">
        <v>32</v>
      </c>
      <c r="J53" s="4" t="s">
        <v>42</v>
      </c>
    </row>
    <row r="55" spans="1:10" ht="13.5">
      <c r="A55" s="2" t="s">
        <v>18</v>
      </c>
      <c r="E55" s="2" t="s">
        <v>388</v>
      </c>
      <c r="F55" s="110">
        <f>F52/F53</f>
        <v>6.5384394189570632</v>
      </c>
    </row>
    <row r="56" spans="1:10">
      <c r="A56" s="2" t="s">
        <v>19</v>
      </c>
      <c r="E56" s="168" t="s">
        <v>30</v>
      </c>
      <c r="F56" s="168"/>
      <c r="G56" s="168"/>
    </row>
    <row r="57" spans="1:10">
      <c r="A57" s="2" t="s">
        <v>20</v>
      </c>
      <c r="E57" s="2" t="s">
        <v>37</v>
      </c>
      <c r="F57" s="136">
        <v>4</v>
      </c>
      <c r="G57" s="2" t="s">
        <v>28</v>
      </c>
    </row>
    <row r="58" spans="1:10">
      <c r="A58" s="2" t="s">
        <v>21</v>
      </c>
      <c r="E58" s="2" t="s">
        <v>38</v>
      </c>
      <c r="F58" s="136">
        <v>48</v>
      </c>
      <c r="G58" s="2" t="s">
        <v>28</v>
      </c>
    </row>
    <row r="59" spans="1:10">
      <c r="F59" s="141"/>
    </row>
    <row r="60" spans="1:10">
      <c r="A60" s="2" t="s">
        <v>22</v>
      </c>
      <c r="E60" s="168" t="s">
        <v>31</v>
      </c>
      <c r="F60" s="168"/>
      <c r="G60" s="168"/>
    </row>
    <row r="61" spans="1:10" ht="13.5">
      <c r="A61" s="2" t="s">
        <v>23</v>
      </c>
      <c r="E61" s="2" t="s">
        <v>389</v>
      </c>
      <c r="F61" s="131">
        <v>5.8999999999999997E-2</v>
      </c>
      <c r="G61" s="2" t="s">
        <v>702</v>
      </c>
    </row>
    <row r="62" spans="1:10" ht="13.5">
      <c r="A62" s="2" t="s">
        <v>24</v>
      </c>
      <c r="E62" s="2" t="s">
        <v>390</v>
      </c>
      <c r="F62" s="137">
        <f>F61*27*F46+49.6*0.001</f>
        <v>0.28854999999999997</v>
      </c>
      <c r="G62" s="2" t="s">
        <v>43</v>
      </c>
    </row>
    <row r="63" spans="1:10">
      <c r="A63" s="2" t="s">
        <v>25</v>
      </c>
    </row>
    <row r="65" spans="1:10" ht="12.75">
      <c r="A65" s="1" t="s">
        <v>149</v>
      </c>
    </row>
    <row r="66" spans="1:10">
      <c r="A66" s="156" t="str">
        <f>"Based on Table 3-22c, Continuous Beams Moment and Shear Coefficients - Equal Spans, Equally Loaded, in terms of wl2, +M ="&amp;TEXT(D69,"0.000")&amp;" and -M = "&amp;TEXT(D70,"0.000")&amp;" and will be used for this design"</f>
        <v>Based on Table 3-22c, Continuous Beams Moment and Shear Coefficients - Equal Spans, Equally Loaded, in terms of wl2, +M =0.080 and -M = 0.100 and will be used for this design</v>
      </c>
      <c r="B66" s="157"/>
      <c r="C66" s="157"/>
      <c r="D66" s="157"/>
      <c r="E66" s="157"/>
      <c r="F66" s="157"/>
      <c r="G66" s="157"/>
      <c r="H66" s="157"/>
      <c r="I66" s="157"/>
      <c r="J66" s="157"/>
    </row>
    <row r="67" spans="1:10">
      <c r="A67" s="157"/>
      <c r="B67" s="157"/>
      <c r="C67" s="157"/>
      <c r="D67" s="157"/>
      <c r="E67" s="157"/>
      <c r="F67" s="157"/>
      <c r="G67" s="157"/>
      <c r="H67" s="157"/>
      <c r="I67" s="157"/>
      <c r="J67" s="157"/>
    </row>
    <row r="69" spans="1:10" ht="13.5">
      <c r="A69" s="5" t="s">
        <v>391</v>
      </c>
      <c r="D69" s="131">
        <v>0.08</v>
      </c>
    </row>
    <row r="70" spans="1:10" ht="13.5">
      <c r="A70" s="5" t="s">
        <v>392</v>
      </c>
      <c r="D70" s="110">
        <v>0.1</v>
      </c>
    </row>
    <row r="71" spans="1:10">
      <c r="A71" s="5"/>
      <c r="D71" s="32"/>
    </row>
    <row r="72" spans="1:10" ht="13.5">
      <c r="A72" s="2" t="s">
        <v>372</v>
      </c>
      <c r="B72" s="2" t="str">
        <f>""&amp;TEXT(F38,"0.00")&amp;" in /12 * "&amp;TEXT(F46,"0.00")&amp;" kcf = "</f>
        <v xml:space="preserve">8.00 in /12 * 0.15 kcf = </v>
      </c>
      <c r="E72" s="2">
        <f>F38/12*F46</f>
        <v>9.9999999999999992E-2</v>
      </c>
      <c r="F72" s="2" t="s">
        <v>150</v>
      </c>
    </row>
    <row r="73" spans="1:10" ht="13.5">
      <c r="A73" s="2" t="s">
        <v>381</v>
      </c>
      <c r="B73" s="2" t="str">
        <f>""&amp;TEXT(F42,"0.00")&amp;" in /12 * "&amp;TEXT(F47,"0.000")&amp;" kcf = "</f>
        <v xml:space="preserve">3.00 in /12 * 0.147 kcf = </v>
      </c>
      <c r="E73" s="15">
        <f>F42/12*F47</f>
        <v>3.6667499999999999E-2</v>
      </c>
      <c r="F73" s="2" t="s">
        <v>150</v>
      </c>
    </row>
    <row r="75" spans="1:10">
      <c r="A75" s="2" t="s">
        <v>200</v>
      </c>
    </row>
    <row r="76" spans="1:10" ht="13.5">
      <c r="A76" s="5" t="s">
        <v>393</v>
      </c>
      <c r="B76" s="2" t="str">
        <f>""&amp;TEXT(E72,"0.000")&amp;" klf * ("&amp;TEXT(F35,"0.00")&amp;" ft)^2 * "&amp;TEXT(D69,"0.00")&amp;"  = "</f>
        <v xml:space="preserve">0.100 klf * (11.00 ft)^2 * 0.08  = </v>
      </c>
      <c r="E76" s="2">
        <f>E72*F35^2*D69</f>
        <v>0.96799999999999997</v>
      </c>
      <c r="F76" s="2" t="s">
        <v>151</v>
      </c>
    </row>
    <row r="77" spans="1:10" ht="13.5">
      <c r="A77" s="5" t="s">
        <v>394</v>
      </c>
      <c r="B77" s="2" t="str">
        <f>""&amp;TEXT(E73,"0.000")&amp;" klf * ("&amp;TEXT(F35,"0.00")&amp;" ft)^2 * "&amp;TEXT(D69,"0.00")&amp;"  = "</f>
        <v xml:space="preserve">0.037 klf * (11.00 ft)^2 * 0.08  = </v>
      </c>
      <c r="E77" s="15">
        <f>E73*F35^2*D69</f>
        <v>0.35494140000000002</v>
      </c>
      <c r="F77" s="2" t="s">
        <v>151</v>
      </c>
    </row>
    <row r="78" spans="1:10">
      <c r="A78" s="5"/>
      <c r="E78" s="15"/>
    </row>
    <row r="79" spans="1:10">
      <c r="A79" s="2" t="s">
        <v>201</v>
      </c>
    </row>
    <row r="80" spans="1:10" ht="13.5">
      <c r="A80" s="5" t="s">
        <v>395</v>
      </c>
      <c r="B80" s="2" t="str">
        <f>""&amp;TEXT(E72,"0.000")&amp;" klf * ("&amp;TEXT(F35,"0.00")&amp;" ft)^2 * "&amp;TEXT(D70,"0.00")&amp;"  = "</f>
        <v xml:space="preserve">0.100 klf * (11.00 ft)^2 * 0.10  = </v>
      </c>
      <c r="E80" s="2">
        <f>E72*F35^2*D70</f>
        <v>1.21</v>
      </c>
      <c r="F80" s="2" t="s">
        <v>151</v>
      </c>
    </row>
    <row r="81" spans="1:15" ht="13.5">
      <c r="A81" s="5" t="s">
        <v>396</v>
      </c>
      <c r="B81" s="2" t="str">
        <f>""&amp;TEXT(E73,"0.000")&amp;" klf * ("&amp;TEXT(F35,"0.00")&amp;" ft)^2 * "&amp;TEXT(D70,"0.00")&amp;"  = "</f>
        <v xml:space="preserve">0.037 klf * (11.00 ft)^2 * 0.10  = </v>
      </c>
      <c r="E81" s="15">
        <f>E73*F35^2*D70</f>
        <v>0.44367675000000006</v>
      </c>
      <c r="F81" s="2" t="s">
        <v>151</v>
      </c>
    </row>
    <row r="83" spans="1:15" ht="12.75">
      <c r="A83" s="1" t="s">
        <v>152</v>
      </c>
    </row>
    <row r="84" spans="1:15">
      <c r="A84" s="156" t="s">
        <v>153</v>
      </c>
      <c r="B84" s="157"/>
      <c r="C84" s="157"/>
      <c r="D84" s="157"/>
      <c r="E84" s="157"/>
      <c r="F84" s="157"/>
      <c r="G84" s="157"/>
      <c r="H84" s="157"/>
      <c r="I84" s="157"/>
      <c r="J84" s="157"/>
    </row>
    <row r="85" spans="1:15">
      <c r="A85" s="157"/>
      <c r="B85" s="157"/>
      <c r="C85" s="157"/>
      <c r="D85" s="157"/>
      <c r="E85" s="157"/>
      <c r="F85" s="157"/>
      <c r="G85" s="157"/>
      <c r="H85" s="157"/>
      <c r="I85" s="157"/>
      <c r="J85" s="157"/>
    </row>
    <row r="86" spans="1:15">
      <c r="A86" s="157"/>
      <c r="B86" s="157"/>
      <c r="C86" s="157"/>
      <c r="D86" s="157"/>
      <c r="E86" s="157"/>
      <c r="F86" s="157"/>
      <c r="G86" s="157"/>
      <c r="H86" s="157"/>
      <c r="I86" s="157"/>
      <c r="J86" s="157"/>
    </row>
    <row r="87" spans="1:15">
      <c r="A87" s="157"/>
      <c r="B87" s="157"/>
      <c r="C87" s="157"/>
      <c r="D87" s="157"/>
      <c r="E87" s="157"/>
      <c r="F87" s="157"/>
      <c r="G87" s="157"/>
      <c r="H87" s="157"/>
      <c r="I87" s="157"/>
      <c r="J87" s="157"/>
    </row>
    <row r="89" spans="1:15">
      <c r="A89" s="2" t="s">
        <v>154</v>
      </c>
      <c r="D89" s="131" t="s">
        <v>157</v>
      </c>
      <c r="J89" s="4" t="s">
        <v>155</v>
      </c>
      <c r="O89" s="2" t="s">
        <v>158</v>
      </c>
    </row>
    <row r="90" spans="1:15">
      <c r="A90" s="2" t="s">
        <v>161</v>
      </c>
      <c r="C90" s="2" t="s">
        <v>158</v>
      </c>
      <c r="G90" s="6">
        <f>IF(C90=O89,F58/2,IF(C90=O90,F58/4,IF(C90=O91,MIN(F58/3,15),F58/4)))</f>
        <v>24</v>
      </c>
      <c r="J90" s="4" t="s">
        <v>156</v>
      </c>
      <c r="O90" s="2" t="s">
        <v>312</v>
      </c>
    </row>
    <row r="91" spans="1:15">
      <c r="J91" s="4"/>
      <c r="O91" s="2" t="s">
        <v>159</v>
      </c>
    </row>
    <row r="92" spans="1:15">
      <c r="A92" s="2" t="s">
        <v>166</v>
      </c>
      <c r="C92" s="16">
        <f>F35</f>
        <v>11</v>
      </c>
      <c r="D92" s="2" t="s">
        <v>26</v>
      </c>
      <c r="J92" s="4"/>
      <c r="O92" s="2" t="s">
        <v>160</v>
      </c>
    </row>
    <row r="93" spans="1:15">
      <c r="A93" s="2" t="s">
        <v>162</v>
      </c>
      <c r="J93" s="4"/>
    </row>
    <row r="94" spans="1:15" ht="13.5">
      <c r="A94" s="2" t="s">
        <v>164</v>
      </c>
      <c r="D94" s="5" t="s">
        <v>397</v>
      </c>
      <c r="E94" s="131">
        <v>7.46</v>
      </c>
      <c r="F94" s="2" t="s">
        <v>146</v>
      </c>
      <c r="J94" s="4" t="s">
        <v>163</v>
      </c>
    </row>
    <row r="95" spans="1:15" ht="13.5">
      <c r="A95" s="2" t="s">
        <v>165</v>
      </c>
      <c r="D95" s="5" t="s">
        <v>398</v>
      </c>
      <c r="E95" s="131">
        <v>4.5199999999999996</v>
      </c>
      <c r="F95" s="2" t="s">
        <v>146</v>
      </c>
      <c r="J95" s="4" t="s">
        <v>163</v>
      </c>
    </row>
    <row r="97" spans="1:10" ht="12.75">
      <c r="A97" s="1" t="s">
        <v>167</v>
      </c>
    </row>
    <row r="98" spans="1:10">
      <c r="A98" s="156" t="s">
        <v>168</v>
      </c>
      <c r="B98" s="157"/>
      <c r="C98" s="157"/>
      <c r="D98" s="157"/>
      <c r="E98" s="157"/>
      <c r="F98" s="157"/>
      <c r="G98" s="157"/>
      <c r="H98" s="157"/>
      <c r="I98" s="157"/>
      <c r="J98" s="157"/>
    </row>
    <row r="99" spans="1:10">
      <c r="A99" s="157"/>
      <c r="B99" s="157"/>
      <c r="C99" s="157"/>
      <c r="D99" s="157"/>
      <c r="E99" s="157"/>
      <c r="F99" s="157"/>
      <c r="G99" s="157"/>
      <c r="H99" s="157"/>
      <c r="I99" s="157"/>
      <c r="J99" s="157"/>
    </row>
    <row r="101" spans="1:10" ht="13.5">
      <c r="A101" s="2" t="s">
        <v>399</v>
      </c>
    </row>
    <row r="102" spans="1:10">
      <c r="A102" s="5" t="s">
        <v>400</v>
      </c>
      <c r="B102" s="5" t="s">
        <v>169</v>
      </c>
    </row>
    <row r="103" spans="1:10">
      <c r="A103" s="2" t="s">
        <v>367</v>
      </c>
    </row>
    <row r="104" spans="1:10">
      <c r="A104" s="2" t="s">
        <v>170</v>
      </c>
    </row>
    <row r="105" spans="1:10">
      <c r="A105" s="2" t="s">
        <v>171</v>
      </c>
    </row>
    <row r="106" spans="1:10" ht="12.75" thickBot="1"/>
    <row r="107" spans="1:10">
      <c r="A107" s="162" t="s">
        <v>172</v>
      </c>
      <c r="B107" s="163"/>
      <c r="C107" s="166" t="s">
        <v>173</v>
      </c>
      <c r="D107" s="167"/>
      <c r="E107" s="165"/>
      <c r="F107" s="164" t="s">
        <v>174</v>
      </c>
      <c r="G107" s="165"/>
    </row>
    <row r="108" spans="1:10" ht="13.5">
      <c r="A108" s="158"/>
      <c r="B108" s="159"/>
      <c r="C108" s="22" t="s">
        <v>401</v>
      </c>
      <c r="D108" s="7" t="s">
        <v>402</v>
      </c>
      <c r="E108" s="18" t="s">
        <v>403</v>
      </c>
      <c r="F108" s="21" t="s">
        <v>404</v>
      </c>
      <c r="G108" s="17" t="s">
        <v>405</v>
      </c>
    </row>
    <row r="109" spans="1:10">
      <c r="A109" s="158" t="s">
        <v>175</v>
      </c>
      <c r="B109" s="159"/>
      <c r="C109" s="22">
        <v>1.25</v>
      </c>
      <c r="D109" s="7">
        <v>1.5</v>
      </c>
      <c r="E109" s="18">
        <v>1.75</v>
      </c>
      <c r="F109" s="106">
        <f>C109*$E$76+D109*$E$77+E109*$E$94</f>
        <v>14.797412099999999</v>
      </c>
      <c r="G109" s="107">
        <f>-(C109*$E$80+D109*$E$81+E109*$E$95)</f>
        <v>-10.088015124999998</v>
      </c>
    </row>
    <row r="110" spans="1:10" ht="12.75" thickBot="1">
      <c r="A110" s="160" t="s">
        <v>176</v>
      </c>
      <c r="B110" s="161"/>
      <c r="C110" s="23">
        <v>1</v>
      </c>
      <c r="D110" s="19">
        <v>1</v>
      </c>
      <c r="E110" s="20">
        <v>1</v>
      </c>
      <c r="F110" s="108">
        <f>C110*$E$76+D110*$E$77+E110*$E$94</f>
        <v>8.7829414000000003</v>
      </c>
      <c r="G110" s="109">
        <f>-(C110*$E$80+D110*$E$81+E110*$E$95)</f>
        <v>-6.1736767499999994</v>
      </c>
    </row>
    <row r="112" spans="1:10" ht="13.5">
      <c r="A112" s="2" t="s">
        <v>406</v>
      </c>
    </row>
    <row r="114" spans="1:15">
      <c r="A114" s="2" t="s">
        <v>177</v>
      </c>
      <c r="E114" s="5" t="s">
        <v>178</v>
      </c>
      <c r="F114" s="8">
        <f>MAX(F109:F110)</f>
        <v>14.797412099999999</v>
      </c>
      <c r="G114" s="2" t="s">
        <v>146</v>
      </c>
    </row>
    <row r="115" spans="1:15">
      <c r="A115" s="2" t="s">
        <v>179</v>
      </c>
      <c r="E115" s="5" t="s">
        <v>180</v>
      </c>
      <c r="F115" s="8">
        <f>MIN(G109:G110)</f>
        <v>-10.088015124999998</v>
      </c>
      <c r="G115" s="2" t="s">
        <v>146</v>
      </c>
    </row>
    <row r="116" spans="1:15">
      <c r="E116" s="5"/>
      <c r="F116" s="8"/>
    </row>
    <row r="117" spans="1:15">
      <c r="E117" s="5"/>
      <c r="F117" s="8"/>
    </row>
    <row r="118" spans="1:15" ht="12.75">
      <c r="A118" s="1" t="s">
        <v>181</v>
      </c>
    </row>
    <row r="119" spans="1:15">
      <c r="A119" s="156" t="s">
        <v>182</v>
      </c>
      <c r="B119" s="157"/>
      <c r="C119" s="157"/>
      <c r="D119" s="157"/>
      <c r="E119" s="157"/>
      <c r="F119" s="157"/>
      <c r="G119" s="157"/>
      <c r="H119" s="157"/>
      <c r="I119" s="157"/>
      <c r="J119" s="157"/>
    </row>
    <row r="120" spans="1:15">
      <c r="A120" s="157"/>
      <c r="B120" s="157"/>
      <c r="C120" s="157"/>
      <c r="D120" s="157"/>
      <c r="E120" s="157"/>
      <c r="F120" s="157"/>
      <c r="G120" s="157"/>
      <c r="H120" s="157"/>
      <c r="I120" s="157"/>
      <c r="J120" s="157"/>
    </row>
    <row r="121" spans="1:15">
      <c r="A121" s="157"/>
      <c r="B121" s="157"/>
      <c r="C121" s="157"/>
      <c r="D121" s="157"/>
      <c r="E121" s="157"/>
      <c r="F121" s="157"/>
      <c r="G121" s="157"/>
      <c r="H121" s="157"/>
      <c r="I121" s="157"/>
      <c r="J121" s="157"/>
    </row>
    <row r="122" spans="1:15">
      <c r="A122" s="157"/>
      <c r="B122" s="157"/>
      <c r="C122" s="157"/>
      <c r="D122" s="157"/>
      <c r="E122" s="157"/>
      <c r="F122" s="157"/>
      <c r="G122" s="157"/>
      <c r="H122" s="157"/>
      <c r="I122" s="157"/>
      <c r="J122" s="157"/>
    </row>
    <row r="124" spans="1:15">
      <c r="A124" s="2" t="s">
        <v>183</v>
      </c>
      <c r="G124" s="2" t="s">
        <v>184</v>
      </c>
      <c r="H124" s="136">
        <v>12</v>
      </c>
      <c r="I124" s="2" t="s">
        <v>52</v>
      </c>
    </row>
    <row r="125" spans="1:15" ht="13.5">
      <c r="A125" s="2" t="s">
        <v>185</v>
      </c>
      <c r="G125" s="2" t="s">
        <v>407</v>
      </c>
      <c r="H125" s="9">
        <f>F49</f>
        <v>0.9</v>
      </c>
      <c r="J125" s="4" t="s">
        <v>186</v>
      </c>
    </row>
    <row r="126" spans="1:15">
      <c r="M126" s="7" t="s">
        <v>47</v>
      </c>
      <c r="N126" s="7" t="s">
        <v>48</v>
      </c>
      <c r="O126" s="7" t="s">
        <v>49</v>
      </c>
    </row>
    <row r="127" spans="1:15">
      <c r="A127" s="10" t="s">
        <v>187</v>
      </c>
      <c r="M127" s="7">
        <v>3</v>
      </c>
      <c r="N127" s="7">
        <v>0.11</v>
      </c>
      <c r="O127" s="7">
        <v>0.375</v>
      </c>
    </row>
    <row r="128" spans="1:15">
      <c r="A128" s="2" t="s">
        <v>188</v>
      </c>
      <c r="B128" s="2" t="s">
        <v>189</v>
      </c>
      <c r="D128" s="4" t="s">
        <v>190</v>
      </c>
      <c r="E128" s="131">
        <v>5</v>
      </c>
      <c r="M128" s="7">
        <v>4</v>
      </c>
      <c r="N128" s="7">
        <v>0.2</v>
      </c>
      <c r="O128" s="7">
        <v>0.5</v>
      </c>
    </row>
    <row r="129" spans="1:15">
      <c r="B129" s="2" t="s">
        <v>191</v>
      </c>
      <c r="D129" s="4" t="s">
        <v>192</v>
      </c>
      <c r="E129" s="136">
        <v>6</v>
      </c>
      <c r="F129" s="2" t="s">
        <v>52</v>
      </c>
      <c r="M129" s="7">
        <v>5</v>
      </c>
      <c r="N129" s="7">
        <v>0.31</v>
      </c>
      <c r="O129" s="7">
        <v>0.625</v>
      </c>
    </row>
    <row r="130" spans="1:15" ht="13.5">
      <c r="B130" s="2" t="s">
        <v>193</v>
      </c>
      <c r="D130" s="4" t="s">
        <v>408</v>
      </c>
      <c r="E130" s="9">
        <f>LOOKUP(E128,$M$127:$M$138,$O$127:$O$138)</f>
        <v>0.625</v>
      </c>
      <c r="F130" s="2" t="s">
        <v>52</v>
      </c>
      <c r="M130" s="7">
        <v>6</v>
      </c>
      <c r="N130" s="7">
        <v>0.44</v>
      </c>
      <c r="O130" s="7">
        <v>0.75</v>
      </c>
    </row>
    <row r="131" spans="1:15" ht="14.25">
      <c r="B131" s="2" t="s">
        <v>194</v>
      </c>
      <c r="D131" s="4" t="s">
        <v>409</v>
      </c>
      <c r="E131" s="9">
        <f>LOOKUP(E128,$M$127:$M$138,$N$127:$N$138)</f>
        <v>0.31</v>
      </c>
      <c r="F131" s="2" t="s">
        <v>410</v>
      </c>
      <c r="M131" s="7">
        <v>7</v>
      </c>
      <c r="N131" s="7">
        <v>0.6</v>
      </c>
      <c r="O131" s="7">
        <v>0.875</v>
      </c>
    </row>
    <row r="132" spans="1:15">
      <c r="M132" s="7">
        <v>8</v>
      </c>
      <c r="N132" s="7">
        <v>0.79</v>
      </c>
      <c r="O132" s="7">
        <v>1</v>
      </c>
    </row>
    <row r="133" spans="1:15">
      <c r="A133" s="2" t="s">
        <v>113</v>
      </c>
      <c r="I133" s="5"/>
      <c r="M133" s="7">
        <v>9</v>
      </c>
      <c r="N133" s="7">
        <v>1</v>
      </c>
      <c r="O133" s="7">
        <v>1.1279999999999999</v>
      </c>
    </row>
    <row r="134" spans="1:15" ht="14.25">
      <c r="B134" s="5" t="s">
        <v>411</v>
      </c>
      <c r="E134" s="5" t="str">
        <f>"12.0 in. * "&amp;TEXT(E131,"0.000")&amp;" in. / "&amp;TEXT(E129,"0.0")&amp;" in. ="</f>
        <v>12.0 in. * 0.310 in. / 6.0 in. =</v>
      </c>
      <c r="F134" s="5"/>
      <c r="G134" s="5"/>
      <c r="H134" s="5"/>
      <c r="I134" s="2">
        <f>12*(E131/E129)</f>
        <v>0.62</v>
      </c>
      <c r="J134" s="2" t="s">
        <v>410</v>
      </c>
      <c r="M134" s="7">
        <v>10</v>
      </c>
      <c r="N134" s="7">
        <v>1.27</v>
      </c>
      <c r="O134" s="7">
        <v>1.27</v>
      </c>
    </row>
    <row r="135" spans="1:15">
      <c r="A135" s="2" t="s">
        <v>114</v>
      </c>
      <c r="M135" s="7">
        <v>11</v>
      </c>
      <c r="N135" s="7">
        <v>1.56</v>
      </c>
      <c r="O135" s="7">
        <v>1.41</v>
      </c>
    </row>
    <row r="136" spans="1:15" ht="13.5">
      <c r="B136" s="5" t="s">
        <v>412</v>
      </c>
      <c r="E136" s="2" t="str">
        <f>TEXT(F38,"0.0")&amp;" in. - "&amp;TEXT(F41,"0.0")&amp;" in. - "&amp;TEXT(E130,"0.000")&amp;" in. / 2 ="</f>
        <v>8.0 in. - 1.0 in. - 0.625 in. / 2 =</v>
      </c>
      <c r="I136" s="8">
        <f>$F$38-F41-0.5*E130</f>
        <v>6.6875</v>
      </c>
      <c r="J136" s="2" t="s">
        <v>52</v>
      </c>
      <c r="M136" s="7">
        <v>12</v>
      </c>
      <c r="N136" s="7">
        <v>1.76</v>
      </c>
      <c r="O136" s="7">
        <v>1.5</v>
      </c>
    </row>
    <row r="137" spans="1:15">
      <c r="A137" s="2" t="s">
        <v>115</v>
      </c>
      <c r="I137" s="5"/>
      <c r="M137" s="7">
        <v>14</v>
      </c>
      <c r="N137" s="7">
        <v>2.25</v>
      </c>
      <c r="O137" s="7">
        <v>1.6930000000000001</v>
      </c>
    </row>
    <row r="138" spans="1:15" ht="27.75" customHeight="1">
      <c r="D138" s="11" t="str">
        <f>TEXT(I134,"0.00")&amp;" in. * "&amp;TEXT($F$45,"0.0")&amp;" ksi / (0.85 * "&amp;TEXT($F$44,"0.0")&amp;" ksi * "&amp;TEXT(H124,0)&amp;" in.) ="</f>
        <v>0.62 in. * 60.0 ksi / (0.85 * 4.5 ksi * 12 in.) =</v>
      </c>
      <c r="I138" s="12">
        <f>I134*$F$45/(0.85*$F$44*$H$124)</f>
        <v>0.8104575163398694</v>
      </c>
      <c r="J138" s="11" t="s">
        <v>52</v>
      </c>
      <c r="M138" s="7">
        <v>18</v>
      </c>
      <c r="N138" s="7">
        <v>4</v>
      </c>
      <c r="O138" s="7">
        <v>2.2570000000000001</v>
      </c>
    </row>
    <row r="139" spans="1:15" ht="35.25" customHeight="1">
      <c r="A139" s="11" t="s">
        <v>195</v>
      </c>
    </row>
    <row r="140" spans="1:15">
      <c r="C140" s="2" t="str">
        <f>"= "&amp;TEXT(H125,"0.00")&amp;" * "&amp;TEXT(I134,"0.00")&amp;" in. * "&amp;TEXT($F$45,"0.0")&amp;" ksi * ("&amp;TEXT(I136,"0.00")&amp;" in. - "&amp;TEXT(I138,"0.00")&amp;" in. / 2) / 12 in./ft. ="</f>
        <v>= 0.90 * 0.62 in. * 60.0 ksi * (6.69 in. - 0.81 in. / 2) / 12 in./ft. =</v>
      </c>
      <c r="I140" s="8">
        <f>$H$125*I134*$F$45*(I136-I138/2)/12</f>
        <v>17.527536764705882</v>
      </c>
      <c r="J140" s="2" t="s">
        <v>117</v>
      </c>
    </row>
    <row r="142" spans="1:15">
      <c r="F142" s="8">
        <f>I140</f>
        <v>17.527536764705882</v>
      </c>
      <c r="G142" s="9" t="str">
        <f>IF(F142&gt;H142,"&gt;",IF(F142&lt;H142,"&lt;","="))</f>
        <v>&gt;</v>
      </c>
      <c r="H142" s="24">
        <f>F114</f>
        <v>14.797412099999999</v>
      </c>
      <c r="I142" s="87" t="str">
        <f>IF(F142&gt;H142,"OK","FAILS")</f>
        <v>OK</v>
      </c>
    </row>
    <row r="144" spans="1:15">
      <c r="A144" s="10" t="s">
        <v>196</v>
      </c>
    </row>
    <row r="145" spans="1:10">
      <c r="A145" s="2" t="s">
        <v>188</v>
      </c>
      <c r="B145" s="2" t="s">
        <v>189</v>
      </c>
      <c r="D145" s="4" t="s">
        <v>190</v>
      </c>
      <c r="E145" s="131">
        <v>5</v>
      </c>
    </row>
    <row r="146" spans="1:10">
      <c r="B146" s="2" t="s">
        <v>191</v>
      </c>
      <c r="D146" s="4" t="s">
        <v>192</v>
      </c>
      <c r="E146" s="136">
        <v>5</v>
      </c>
      <c r="F146" s="2" t="s">
        <v>52</v>
      </c>
    </row>
    <row r="147" spans="1:10" ht="13.5">
      <c r="B147" s="2" t="s">
        <v>197</v>
      </c>
      <c r="D147" s="4" t="s">
        <v>408</v>
      </c>
      <c r="E147" s="9">
        <f>LOOKUP(E145,$M$127:$M$138,$O$127:$O$138)</f>
        <v>0.625</v>
      </c>
      <c r="F147" s="2" t="s">
        <v>52</v>
      </c>
    </row>
    <row r="148" spans="1:10" ht="14.25">
      <c r="B148" s="2" t="s">
        <v>198</v>
      </c>
      <c r="D148" s="4" t="s">
        <v>409</v>
      </c>
      <c r="E148" s="9">
        <f>LOOKUP(E145,$M$127:$M$138,$N$127:$N$138)</f>
        <v>0.31</v>
      </c>
      <c r="F148" s="2" t="s">
        <v>410</v>
      </c>
    </row>
    <row r="150" spans="1:10">
      <c r="A150" s="2" t="s">
        <v>199</v>
      </c>
      <c r="I150" s="5"/>
    </row>
    <row r="151" spans="1:10" ht="14.25">
      <c r="B151" s="5" t="s">
        <v>413</v>
      </c>
      <c r="E151" s="5" t="str">
        <f>"12 in. * "&amp;TEXT(E148,"0.000")&amp;" in. / "&amp;TEXT(E146,"0.00")&amp;" in. ="</f>
        <v>12 in. * 0.310 in. / 5.00 in. =</v>
      </c>
      <c r="G151" s="5"/>
      <c r="H151" s="5"/>
      <c r="I151" s="8">
        <f>12*(E148/E146)</f>
        <v>0.74399999999999999</v>
      </c>
      <c r="J151" s="2" t="s">
        <v>410</v>
      </c>
    </row>
    <row r="152" spans="1:10">
      <c r="A152" s="2" t="s">
        <v>114</v>
      </c>
    </row>
    <row r="153" spans="1:10" ht="13.5">
      <c r="B153" s="5" t="s">
        <v>414</v>
      </c>
      <c r="E153" s="2" t="str">
        <f>TEXT(F38,"0.0")&amp;" in. - "&amp;TEXT(F40,"0.0")&amp;" in. - "&amp;TEXT(E130,"0.000")&amp;" in. / 2 ="</f>
        <v>8.0 in. - 2.0 in. - 0.625 in. / 2 =</v>
      </c>
      <c r="I153" s="8">
        <f>$F$38-F40-0.5*E147</f>
        <v>5.6875</v>
      </c>
      <c r="J153" s="2" t="s">
        <v>121</v>
      </c>
    </row>
    <row r="154" spans="1:10">
      <c r="A154" s="2" t="s">
        <v>115</v>
      </c>
      <c r="I154" s="5"/>
    </row>
    <row r="155" spans="1:10" ht="35.25" customHeight="1">
      <c r="D155" s="11" t="str">
        <f>TEXT(I151,"0.00")&amp;" in * "&amp;TEXT($F$45,"0.0")&amp;" ksi / (0.85 * "&amp;TEXT($F$44,"0.0")&amp;" ksi * "&amp;TEXT(H124,0)&amp;" in.) ="</f>
        <v>0.74 in * 60.0 ksi / (0.85 * 4.5 ksi * 12 in.) =</v>
      </c>
      <c r="E155" s="11"/>
      <c r="F155" s="11"/>
      <c r="G155" s="11"/>
      <c r="H155" s="11"/>
      <c r="I155" s="12">
        <f>I151*$F$45/(0.85*$F$44*$H$124)</f>
        <v>0.97254901960784323</v>
      </c>
      <c r="J155" s="11" t="s">
        <v>52</v>
      </c>
    </row>
    <row r="156" spans="1:10" ht="29.25" customHeight="1">
      <c r="A156" s="11" t="s">
        <v>195</v>
      </c>
    </row>
    <row r="157" spans="1:10">
      <c r="C157" s="2" t="str">
        <f>"= "&amp;TEXT($H$125,"0.00")&amp;" * "&amp;TEXT(I151,"0.00")&amp;"in. * "&amp;TEXT($F$45,"0.0")&amp;" ksi * ("&amp;TEXT(I153,"0.00")&amp;" in. - "&amp;TEXT(I155,"0.00")&amp;" in. / 2) / 12 in./ft. ="</f>
        <v>= 0.90 * 0.74in. * 60.0 ksi * (5.69 in. - 0.97 in. / 2) / 12 in./ft. =</v>
      </c>
      <c r="I157" s="8">
        <f>$H$125*I151*$F$45*(I153-I155/2)/12</f>
        <v>17.413702941176471</v>
      </c>
      <c r="J157" s="2" t="s">
        <v>117</v>
      </c>
    </row>
    <row r="159" spans="1:10">
      <c r="F159" s="8">
        <f>I157</f>
        <v>17.413702941176471</v>
      </c>
      <c r="G159" s="9" t="str">
        <f>IF(F159&gt;H159,"&gt;",IF(F159&lt;H159,"&lt;","="))</f>
        <v>&gt;</v>
      </c>
      <c r="H159" s="24">
        <f>ABS(F115)</f>
        <v>10.088015124999998</v>
      </c>
      <c r="I159" s="87" t="str">
        <f>IF(F159&gt;H159,"OK","FAILS")</f>
        <v>OK</v>
      </c>
    </row>
    <row r="161" spans="1:14">
      <c r="A161" s="10" t="s">
        <v>202</v>
      </c>
      <c r="J161" s="4" t="s">
        <v>203</v>
      </c>
    </row>
    <row r="162" spans="1:14">
      <c r="A162" s="156" t="s">
        <v>415</v>
      </c>
      <c r="B162" s="157"/>
      <c r="C162" s="157"/>
      <c r="D162" s="157"/>
      <c r="E162" s="157"/>
      <c r="F162" s="157"/>
      <c r="G162" s="157"/>
      <c r="H162" s="157"/>
      <c r="I162" s="157"/>
      <c r="J162" s="157"/>
    </row>
    <row r="163" spans="1:14">
      <c r="A163" s="157"/>
      <c r="B163" s="157"/>
      <c r="C163" s="157"/>
      <c r="D163" s="157"/>
      <c r="E163" s="157"/>
      <c r="F163" s="157"/>
      <c r="G163" s="157"/>
      <c r="H163" s="157"/>
      <c r="I163" s="157"/>
      <c r="J163" s="157"/>
    </row>
    <row r="164" spans="1:14">
      <c r="A164" s="5" t="s">
        <v>416</v>
      </c>
    </row>
    <row r="165" spans="1:14">
      <c r="A165" s="5" t="s">
        <v>417</v>
      </c>
    </row>
    <row r="166" spans="1:14" ht="37.5" customHeight="1">
      <c r="A166" s="11" t="s">
        <v>204</v>
      </c>
      <c r="J166" s="25" t="s">
        <v>205</v>
      </c>
    </row>
    <row r="168" spans="1:14">
      <c r="A168" s="156" t="s">
        <v>206</v>
      </c>
      <c r="B168" s="157"/>
      <c r="C168" s="157"/>
      <c r="D168" s="157"/>
      <c r="E168" s="157"/>
      <c r="F168" s="157"/>
      <c r="G168" s="157"/>
      <c r="H168" s="157"/>
      <c r="I168" s="157"/>
      <c r="J168" s="157"/>
    </row>
    <row r="169" spans="1:14">
      <c r="A169" s="157"/>
      <c r="B169" s="157"/>
      <c r="C169" s="157"/>
      <c r="D169" s="157"/>
      <c r="E169" s="157"/>
      <c r="F169" s="157"/>
      <c r="G169" s="157"/>
      <c r="H169" s="157"/>
      <c r="I169" s="157"/>
      <c r="J169" s="157"/>
    </row>
    <row r="170" spans="1:14">
      <c r="A170" s="2" t="s">
        <v>148</v>
      </c>
      <c r="J170" s="4" t="s">
        <v>203</v>
      </c>
    </row>
    <row r="171" spans="1:14" ht="13.5">
      <c r="A171" s="2" t="s">
        <v>207</v>
      </c>
      <c r="G171" s="2" t="s">
        <v>418</v>
      </c>
      <c r="H171" s="131">
        <v>1.6</v>
      </c>
      <c r="I171" s="2" t="s">
        <v>208</v>
      </c>
      <c r="J171" s="4"/>
    </row>
    <row r="172" spans="1:14" ht="13.5">
      <c r="A172" s="2" t="s">
        <v>209</v>
      </c>
      <c r="G172" s="2" t="s">
        <v>419</v>
      </c>
      <c r="H172" s="131">
        <v>0.67</v>
      </c>
      <c r="I172" s="2" t="s">
        <v>210</v>
      </c>
      <c r="J172" s="4"/>
    </row>
    <row r="173" spans="1:14">
      <c r="A173" s="2" t="s">
        <v>211</v>
      </c>
      <c r="G173" s="2" t="s">
        <v>212</v>
      </c>
      <c r="H173" s="136">
        <v>1</v>
      </c>
      <c r="J173" s="4" t="s">
        <v>213</v>
      </c>
    </row>
    <row r="174" spans="1:14" ht="25.5" customHeight="1">
      <c r="A174" s="11" t="s">
        <v>214</v>
      </c>
      <c r="E174" s="26">
        <f>0.24*H173*SQRT($F$44)</f>
        <v>0.50911688245431419</v>
      </c>
      <c r="F174" s="11" t="s">
        <v>32</v>
      </c>
      <c r="G174" s="11"/>
      <c r="H174" s="11"/>
      <c r="I174" s="11"/>
      <c r="J174" s="25" t="s">
        <v>215</v>
      </c>
    </row>
    <row r="175" spans="1:14" ht="30.75" customHeight="1">
      <c r="A175" s="11" t="s">
        <v>216</v>
      </c>
      <c r="B175" s="11"/>
      <c r="C175" s="11"/>
      <c r="D175" s="11"/>
      <c r="E175" s="11"/>
      <c r="F175" s="11"/>
      <c r="G175" s="11" t="str">
        <f>TEXT(H124,"0.0")&amp;"in. * ("&amp;TEXT(F38,"0.0")&amp;" in.) / 6 ="</f>
        <v>12.0in. * (8.0 in.) / 6 =</v>
      </c>
      <c r="H175" s="11"/>
      <c r="I175" s="11">
        <f>H124*F38^2/6</f>
        <v>128</v>
      </c>
      <c r="J175" s="11" t="s">
        <v>420</v>
      </c>
      <c r="N175" s="2" t="s">
        <v>314</v>
      </c>
    </row>
    <row r="176" spans="1:14">
      <c r="N176" s="2" t="s">
        <v>315</v>
      </c>
    </row>
    <row r="177" spans="1:14">
      <c r="A177" s="5" t="s">
        <v>440</v>
      </c>
      <c r="N177" s="2" t="s">
        <v>316</v>
      </c>
    </row>
    <row r="178" spans="1:14" ht="13.5">
      <c r="D178" s="2" t="s">
        <v>421</v>
      </c>
      <c r="F178" s="2" t="str">
        <f>"1.33 * "&amp;TEXT(F114,"0.00")&amp;" kip-ft. ="</f>
        <v>1.33 * 14.80 kip-ft. =</v>
      </c>
      <c r="I178" s="8">
        <f>1.33*F114</f>
        <v>19.680558092999998</v>
      </c>
      <c r="J178" s="2" t="s">
        <v>117</v>
      </c>
    </row>
    <row r="179" spans="1:14" ht="13.5">
      <c r="D179" s="2" t="s">
        <v>422</v>
      </c>
      <c r="E179" s="2" t="str">
        <f>TEXT($H$172,"0.00")&amp;" * "&amp;TEXT($H$171,"0.00")&amp;" * "&amp;TEXT($E$174,"0.00")&amp;" ksi * "&amp;TEXT($I$175,"0.0")&amp;" in. / 12 in./ft. ="</f>
        <v>0.67 * 1.60 * 0.51 ksi * 128.0 in. / 12 in./ft. =</v>
      </c>
      <c r="I179" s="8">
        <f>$H$172*$H$171*$E$174*$I$175/12</f>
        <v>5.8215818452375983</v>
      </c>
      <c r="J179" s="2" t="s">
        <v>117</v>
      </c>
    </row>
    <row r="180" spans="1:14">
      <c r="F180" s="8">
        <f>I140</f>
        <v>17.527536764705882</v>
      </c>
      <c r="G180" s="9" t="str">
        <f>IF(F180&gt;MIN(I178,I179),"&gt;","&lt;")</f>
        <v>&gt;</v>
      </c>
      <c r="H180" s="24">
        <f>MIN(I178,I179)</f>
        <v>5.8215818452375983</v>
      </c>
      <c r="I180" s="87" t="str">
        <f>IF(F180&gt;H180,"OK","FAILS")</f>
        <v>OK</v>
      </c>
    </row>
    <row r="182" spans="1:14">
      <c r="A182" s="5" t="s">
        <v>441</v>
      </c>
    </row>
    <row r="183" spans="1:14" ht="13.5">
      <c r="D183" s="2" t="s">
        <v>423</v>
      </c>
      <c r="F183" s="2" t="str">
        <f>"1.33 * "&amp;TEXT(ABS(F115),"0.00")&amp;" kip-ft. ="</f>
        <v>1.33 * 10.09 kip-ft. =</v>
      </c>
      <c r="I183" s="8">
        <f>1.33*ABS(F115)</f>
        <v>13.417060116249999</v>
      </c>
      <c r="J183" s="2" t="s">
        <v>117</v>
      </c>
    </row>
    <row r="184" spans="1:14" ht="13.5">
      <c r="D184" s="2" t="s">
        <v>422</v>
      </c>
      <c r="E184" s="2" t="str">
        <f>TEXT($H$172,"0.00")&amp;" * "&amp;TEXT($H$171,"0.00")&amp;" * "&amp;TEXT($E$174,"0.00")&amp;" ksi * "&amp;TEXT($I$175,"0.0")&amp;" in. / 12 in./ft. ="</f>
        <v>0.67 * 1.60 * 0.51 ksi * 128.0 in. / 12 in./ft. =</v>
      </c>
      <c r="I184" s="8">
        <f>$H$172*$H$171*$E$174*$I$175/12</f>
        <v>5.8215818452375983</v>
      </c>
      <c r="J184" s="2" t="s">
        <v>117</v>
      </c>
    </row>
    <row r="185" spans="1:14">
      <c r="F185" s="8">
        <f>I157</f>
        <v>17.413702941176471</v>
      </c>
      <c r="G185" s="9" t="str">
        <f>IF(F185&gt;MIN(I183,I184),"&gt;","&lt;")</f>
        <v>&gt;</v>
      </c>
      <c r="H185" s="24">
        <f>MIN(I183,I184)</f>
        <v>5.8215818452375983</v>
      </c>
      <c r="I185" s="87" t="str">
        <f>IF(F185&gt;H185,"OK","FAILS")</f>
        <v>OK</v>
      </c>
    </row>
    <row r="187" spans="1:14" ht="12.75">
      <c r="A187" s="1" t="s">
        <v>217</v>
      </c>
    </row>
    <row r="188" spans="1:14">
      <c r="A188" s="156" t="s">
        <v>218</v>
      </c>
      <c r="B188" s="157"/>
      <c r="C188" s="157"/>
      <c r="D188" s="157"/>
      <c r="E188" s="157"/>
      <c r="F188" s="157"/>
      <c r="G188" s="157"/>
      <c r="H188" s="157"/>
      <c r="I188" s="157"/>
      <c r="J188" s="157"/>
    </row>
    <row r="189" spans="1:14">
      <c r="A189" s="157"/>
      <c r="B189" s="157"/>
      <c r="C189" s="157"/>
      <c r="D189" s="157"/>
      <c r="E189" s="157"/>
      <c r="F189" s="157"/>
      <c r="G189" s="157"/>
      <c r="H189" s="157"/>
      <c r="I189" s="157"/>
      <c r="J189" s="157"/>
    </row>
    <row r="190" spans="1:14">
      <c r="J190" s="4" t="s">
        <v>219</v>
      </c>
    </row>
    <row r="192" spans="1:14" ht="13.5">
      <c r="A192" s="2" t="s">
        <v>220</v>
      </c>
      <c r="B192" s="9" t="s">
        <v>424</v>
      </c>
      <c r="C192" s="110">
        <v>1</v>
      </c>
      <c r="D192" s="169" t="s">
        <v>221</v>
      </c>
      <c r="E192" s="157"/>
      <c r="F192" s="157"/>
      <c r="G192" s="157"/>
      <c r="H192" s="157"/>
      <c r="I192" s="157"/>
      <c r="J192" s="157"/>
      <c r="K192" s="5"/>
    </row>
    <row r="193" spans="1:11">
      <c r="B193" s="9"/>
      <c r="D193" s="157"/>
      <c r="E193" s="157"/>
      <c r="F193" s="157"/>
      <c r="G193" s="157"/>
      <c r="H193" s="157"/>
      <c r="I193" s="157"/>
      <c r="J193" s="157"/>
      <c r="K193" s="5"/>
    </row>
    <row r="194" spans="1:11" ht="13.5">
      <c r="B194" s="9" t="s">
        <v>425</v>
      </c>
      <c r="C194" s="156" t="s">
        <v>222</v>
      </c>
      <c r="D194" s="157"/>
      <c r="E194" s="157"/>
      <c r="F194" s="157"/>
      <c r="G194" s="157"/>
      <c r="H194" s="157"/>
      <c r="I194" s="157"/>
      <c r="J194" s="157"/>
    </row>
    <row r="195" spans="1:11">
      <c r="B195" s="9"/>
      <c r="C195" s="157"/>
      <c r="D195" s="157"/>
      <c r="E195" s="157"/>
      <c r="F195" s="157"/>
      <c r="G195" s="157"/>
      <c r="H195" s="157"/>
      <c r="I195" s="157"/>
      <c r="J195" s="157"/>
    </row>
    <row r="196" spans="1:11" ht="13.5">
      <c r="B196" s="9" t="s">
        <v>426</v>
      </c>
      <c r="C196" s="2" t="s">
        <v>427</v>
      </c>
    </row>
    <row r="197" spans="1:11">
      <c r="B197" s="9"/>
    </row>
    <row r="198" spans="1:11" ht="13.5">
      <c r="B198" s="9" t="s">
        <v>428</v>
      </c>
      <c r="C198" s="156" t="s">
        <v>429</v>
      </c>
      <c r="D198" s="157"/>
      <c r="E198" s="157"/>
      <c r="F198" s="157"/>
      <c r="G198" s="157"/>
      <c r="H198" s="157"/>
      <c r="I198" s="157"/>
      <c r="J198" s="157"/>
    </row>
    <row r="199" spans="1:11">
      <c r="C199" s="157"/>
      <c r="D199" s="157"/>
      <c r="E199" s="157"/>
      <c r="F199" s="157"/>
      <c r="G199" s="157"/>
      <c r="H199" s="157"/>
      <c r="I199" s="157"/>
      <c r="J199" s="157"/>
    </row>
    <row r="200" spans="1:11">
      <c r="C200" s="157"/>
      <c r="D200" s="157"/>
      <c r="E200" s="157"/>
      <c r="F200" s="157"/>
      <c r="G200" s="157"/>
      <c r="H200" s="157"/>
      <c r="I200" s="157"/>
      <c r="J200" s="157"/>
    </row>
    <row r="202" spans="1:11">
      <c r="A202" s="5" t="s">
        <v>442</v>
      </c>
    </row>
    <row r="203" spans="1:11" ht="13.5">
      <c r="B203" s="5" t="s">
        <v>430</v>
      </c>
      <c r="E203" s="2" t="str">
        <f>TEXT($F$41,"0.00")&amp;" in. + "&amp;TEXT(E130,"0.000")&amp;" in. / 2 ="</f>
        <v>1.00 in. + 0.625 in. / 2 =</v>
      </c>
      <c r="H203" s="8">
        <f>IF(F41&lt;2,$F$41+$E$147/2, 2+$E$147/2)</f>
        <v>1.3125</v>
      </c>
      <c r="I203" s="2" t="s">
        <v>52</v>
      </c>
    </row>
    <row r="204" spans="1:11" ht="37.5" customHeight="1">
      <c r="B204" s="11"/>
      <c r="C204" s="11"/>
      <c r="D204" s="11"/>
      <c r="E204" s="11" t="str">
        <f xml:space="preserve"> "1 + "&amp;TEXT(H203,"0.00")&amp;" in. / [0.7 ("&amp;TEXT($F$38,"0.0")&amp;" in. - "&amp;TEXT(H203,"0.00")&amp;" in.)] ="</f>
        <v>1 + 1.31 in. / [0.7 (8.0 in. - 1.31 in.)] =</v>
      </c>
      <c r="F204" s="11"/>
      <c r="G204" s="11"/>
      <c r="H204" s="11"/>
      <c r="I204" s="27">
        <f>1+H203/(0.7*($F$38-H203))</f>
        <v>1.280373831775701</v>
      </c>
    </row>
    <row r="205" spans="1:11" ht="31.5" customHeight="1">
      <c r="B205" s="11" t="s">
        <v>223</v>
      </c>
      <c r="C205" s="11"/>
      <c r="D205" s="11"/>
      <c r="E205" s="11"/>
      <c r="F205" s="11" t="str">
        <f>TEXT(I134,"0.00")&amp;" in. / ("&amp;TEXT(H124,0)&amp;" in. * "&amp;TEXT(I136,"0.00")&amp;" in.) ="</f>
        <v>0.62 in. / (12 in. * 6.69 in.) =</v>
      </c>
      <c r="G205" s="11"/>
      <c r="H205" s="11"/>
      <c r="I205" s="28">
        <f>I134/($H$124*I136)</f>
        <v>7.7258566978193142E-3</v>
      </c>
    </row>
    <row r="207" spans="1:11" ht="22.5" customHeight="1">
      <c r="E207" s="26">
        <f>(2*$F$55*I205+($F$55*I205)^2)^0.5-$F$55*I205</f>
        <v>0.27132631529569073</v>
      </c>
    </row>
    <row r="208" spans="1:11" ht="17.25" customHeight="1">
      <c r="E208" s="26">
        <f>1-E207/3</f>
        <v>0.90955789490143646</v>
      </c>
    </row>
    <row r="209" spans="1:11" ht="39" customHeight="1">
      <c r="D209" s="11" t="str">
        <f>TEXT(F110,"0.00")&amp;" kip-ft. * 12in./ft. / ("&amp;TEXT(I134,"0.00")&amp;" in. * "&amp;TEXT(E208,"0.00")&amp;" * "&amp;TEXT(I136,"0.00")&amp;" in.) ="</f>
        <v>8.78 kip-ft. * 12in./ft. / (0.62 in. * 0.91 * 6.69 in.) =</v>
      </c>
      <c r="E209" s="11"/>
      <c r="F209" s="11"/>
      <c r="G209" s="11"/>
      <c r="H209" s="11"/>
      <c r="I209" s="31">
        <f>F110*12/(I134*I136*E208)</f>
        <v>27.947013119181094</v>
      </c>
      <c r="J209" s="11" t="s">
        <v>32</v>
      </c>
    </row>
    <row r="210" spans="1:11" ht="36.75" customHeight="1">
      <c r="D210" s="11" t="str">
        <f>"700 * "&amp;TEXT(C192,"0.00")&amp;" / ("&amp;TEXT(I204,"0.00")&amp;" * "&amp;TEXT(I209,"0.00")&amp;" ksi) - 2 * "&amp;TEXT(H203,"0.00")&amp;"in. ="</f>
        <v>700 * 1.00 / (1.28 * 27.95 ksi) - 2 * 1.31in. =</v>
      </c>
      <c r="E210" s="11"/>
      <c r="F210" s="11"/>
      <c r="G210" s="11"/>
      <c r="H210" s="11"/>
      <c r="I210" s="31">
        <f>700*C192/(I204*I209)-2*H203</f>
        <v>16.937567424850201</v>
      </c>
      <c r="J210" s="11" t="s">
        <v>52</v>
      </c>
    </row>
    <row r="211" spans="1:11">
      <c r="B211" s="2" t="s">
        <v>224</v>
      </c>
      <c r="I211" s="30">
        <f>E129</f>
        <v>6</v>
      </c>
      <c r="J211" s="2" t="s">
        <v>52</v>
      </c>
    </row>
    <row r="212" spans="1:11" ht="15.75" customHeight="1">
      <c r="E212" s="30">
        <f>I211</f>
        <v>6</v>
      </c>
      <c r="F212" s="9" t="str">
        <f>IF(E212&gt;G212,"&gt;",IF(E212&lt;G212,"&lt;","="))</f>
        <v>&lt;</v>
      </c>
      <c r="G212" s="29">
        <f>I210</f>
        <v>16.937567424850201</v>
      </c>
      <c r="H212" s="87" t="str">
        <f>IF(E212&lt;=G212,"OK","FAILS")</f>
        <v>OK</v>
      </c>
    </row>
    <row r="213" spans="1:11">
      <c r="A213" s="5" t="s">
        <v>443</v>
      </c>
    </row>
    <row r="214" spans="1:11" ht="13.5">
      <c r="B214" s="5" t="s">
        <v>431</v>
      </c>
      <c r="E214" s="2" t="str">
        <f xml:space="preserve"> TEXT(F40,"0.0")&amp;" in. + "&amp;TEXT(E147,"0.000")&amp;" in. / 2 ="</f>
        <v>2.0 in. + 0.625 in. / 2 =</v>
      </c>
      <c r="H214" s="8">
        <f>IF(F40&lt;2,$F$40+E147/2, 2+$E$147/2)</f>
        <v>2.3125</v>
      </c>
      <c r="I214" s="2" t="s">
        <v>52</v>
      </c>
    </row>
    <row r="215" spans="1:11" ht="31.5" customHeight="1">
      <c r="A215" s="11"/>
      <c r="B215" s="11"/>
      <c r="C215" s="11"/>
      <c r="D215" s="11"/>
      <c r="E215" s="11" t="str">
        <f xml:space="preserve"> "1+ "&amp;TEXT(H214,"0.00")&amp;" in. / [0.7 * ("&amp;TEXT($F$38,"0.0")&amp;" in. - "&amp;TEXT(H214,"0.00")&amp;" in.)] ="</f>
        <v>1+ 2.31 in. / [0.7 * (8.0 in. - 2.31 in.)] =</v>
      </c>
      <c r="F215" s="11"/>
      <c r="G215" s="11"/>
      <c r="H215" s="11"/>
      <c r="I215" s="12">
        <f>1+H214/(0.7*($F$38-H214))</f>
        <v>1.5808477237048666</v>
      </c>
      <c r="K215" s="11"/>
    </row>
    <row r="216" spans="1:11" ht="29.45" customHeight="1">
      <c r="A216" s="11"/>
      <c r="B216" s="11" t="s">
        <v>225</v>
      </c>
      <c r="C216" s="11"/>
      <c r="D216" s="11"/>
      <c r="E216" s="11"/>
      <c r="F216" s="11" t="str">
        <f>TEXT(I151,"0.00")&amp;" in. / ("&amp;TEXT(H124,0)&amp;" in. * "&amp;TEXT(I153,"0.00")&amp;" in.) ="</f>
        <v>0.74 in. / (12 in. * 5.69 in.) =</v>
      </c>
      <c r="G216" s="11"/>
      <c r="H216" s="11"/>
      <c r="I216" s="26">
        <f>I151/($H$124*I153)</f>
        <v>1.0901098901098902E-2</v>
      </c>
      <c r="K216" s="11"/>
    </row>
    <row r="217" spans="1:11" ht="13.5">
      <c r="B217" s="2" t="s">
        <v>226</v>
      </c>
      <c r="D217" s="2" t="s">
        <v>432</v>
      </c>
      <c r="F217" s="2" t="str">
        <f>TEXT($F$52,"0")&amp;" ksi / "&amp;TEXT($F$53,"0")&amp;" ksi ="</f>
        <v>29000 ksi / 4435 ksi =</v>
      </c>
      <c r="I217" s="8">
        <f>$F$52/$F$53</f>
        <v>6.5384394189570632</v>
      </c>
    </row>
    <row r="219" spans="1:11">
      <c r="F219" s="15">
        <f>(2*I217*I216+(I217*I216)^2)^0.5-I217*I216</f>
        <v>0.31295375980411444</v>
      </c>
    </row>
    <row r="220" spans="1:11" ht="20.25" customHeight="1">
      <c r="F220" s="15">
        <f>1-F219/3</f>
        <v>0.89568208006529515</v>
      </c>
    </row>
    <row r="221" spans="1:11" ht="33.950000000000003" customHeight="1">
      <c r="A221" s="11"/>
      <c r="B221" s="11"/>
      <c r="C221" s="11"/>
      <c r="D221" s="11" t="str">
        <f>TEXT(ABS(G110),"0.00")&amp;" kip-ft. * 12in./ft. / ("&amp;TEXT(I151,"0.00")&amp;" in. * "&amp;TEXT(F220,"0.00")&amp;" * "&amp;TEXT(I153,"0.00")&amp;" in.) ="</f>
        <v>6.17 kip-ft. * 12in./ft. / (0.74 in. * 0.90 * 5.69 in.) =</v>
      </c>
      <c r="E221" s="11"/>
      <c r="F221" s="11"/>
      <c r="G221" s="11"/>
      <c r="H221" s="11"/>
      <c r="I221" s="12">
        <f>ABS(G110)*12/(I151*I153*F220)</f>
        <v>19.546855471352337</v>
      </c>
      <c r="J221" s="11" t="s">
        <v>32</v>
      </c>
    </row>
    <row r="222" spans="1:11" ht="35.25" customHeight="1">
      <c r="A222" s="11"/>
      <c r="B222" s="11"/>
      <c r="C222" s="11"/>
      <c r="D222" s="11" t="str">
        <f>"700 * "&amp;TEXT($C$192,"0.00")&amp;" / ("&amp;TEXT(I215,"0.00")&amp;" * "&amp;TEXT(I221,"0.00")&amp;" ksi) - 2 * "&amp;TEXT(H214,"0.00")&amp;" in. ="</f>
        <v>700 * 1.00 / (1.58 * 19.55 ksi) - 2 * 2.31 in. =</v>
      </c>
      <c r="E222" s="11"/>
      <c r="F222" s="11"/>
      <c r="G222" s="11"/>
      <c r="H222" s="11"/>
      <c r="I222" s="12">
        <f>700*$C$192/(I215*I221)-2*H214</f>
        <v>18.028280363607706</v>
      </c>
      <c r="J222" s="11" t="s">
        <v>52</v>
      </c>
    </row>
    <row r="223" spans="1:11">
      <c r="B223" s="2" t="s">
        <v>227</v>
      </c>
      <c r="I223" s="8">
        <f>E146</f>
        <v>5</v>
      </c>
      <c r="J223" s="2" t="s">
        <v>52</v>
      </c>
    </row>
    <row r="224" spans="1:11">
      <c r="E224" s="8">
        <f>I223</f>
        <v>5</v>
      </c>
      <c r="F224" s="9" t="str">
        <f>IF(E224&gt;G224,"&gt;",IF(E224&lt;G224,"&lt;","="))</f>
        <v>&lt;</v>
      </c>
      <c r="G224" s="29">
        <f>I222</f>
        <v>18.028280363607706</v>
      </c>
      <c r="H224" s="87" t="str">
        <f>IF(E224&lt;=G224,"OK","FAILS")</f>
        <v>OK</v>
      </c>
    </row>
    <row r="225" spans="1:10">
      <c r="E225" s="8"/>
      <c r="F225" s="9"/>
      <c r="G225" s="29"/>
    </row>
    <row r="226" spans="1:10">
      <c r="A226" s="5" t="s">
        <v>737</v>
      </c>
      <c r="E226" s="8"/>
      <c r="F226" s="9"/>
      <c r="G226" s="29"/>
    </row>
    <row r="227" spans="1:10">
      <c r="B227" s="4" t="s">
        <v>738</v>
      </c>
      <c r="C227" s="142">
        <f>I221</f>
        <v>19.546855471352337</v>
      </c>
      <c r="E227" s="8"/>
      <c r="F227" s="9"/>
      <c r="G227" s="29"/>
    </row>
    <row r="228" spans="1:10">
      <c r="B228" s="4" t="s">
        <v>739</v>
      </c>
      <c r="C228" s="143">
        <f>0.6*F45</f>
        <v>36</v>
      </c>
      <c r="D228" s="2" t="str">
        <f>"= 0.60 * "&amp;TEXT($F$45,"0")&amp;"ksi"</f>
        <v>= 0.60 * 60ksi</v>
      </c>
      <c r="E228" s="8"/>
      <c r="F228" s="9"/>
      <c r="G228" s="29"/>
    </row>
    <row r="229" spans="1:10">
      <c r="E229" s="8"/>
      <c r="F229" s="64" t="str">
        <f>IF(C227&lt;=C228,"OK","FAILS")</f>
        <v>OK</v>
      </c>
      <c r="G229" s="29"/>
    </row>
    <row r="230" spans="1:10" ht="12.75">
      <c r="A230" s="1" t="s">
        <v>228</v>
      </c>
    </row>
    <row r="231" spans="1:10">
      <c r="A231" s="156" t="s">
        <v>229</v>
      </c>
      <c r="B231" s="157"/>
      <c r="C231" s="157"/>
      <c r="D231" s="157"/>
      <c r="E231" s="157"/>
      <c r="F231" s="157"/>
      <c r="G231" s="157"/>
      <c r="H231" s="157"/>
      <c r="I231" s="157"/>
      <c r="J231" s="157"/>
    </row>
    <row r="232" spans="1:10">
      <c r="A232" s="157"/>
      <c r="B232" s="157"/>
      <c r="C232" s="157"/>
      <c r="D232" s="157"/>
      <c r="E232" s="157"/>
      <c r="F232" s="157"/>
      <c r="G232" s="157"/>
      <c r="H232" s="157"/>
      <c r="I232" s="157"/>
      <c r="J232" s="157"/>
    </row>
    <row r="234" spans="1:10" ht="31.5" customHeight="1">
      <c r="J234" s="25" t="s">
        <v>230</v>
      </c>
    </row>
    <row r="235" spans="1:10">
      <c r="J235" s="4" t="s">
        <v>231</v>
      </c>
    </row>
    <row r="236" spans="1:10" ht="14.25">
      <c r="A236" s="2" t="s">
        <v>433</v>
      </c>
      <c r="B236" s="2" t="str">
        <f>"1.3 * "&amp;TEXT($H$124,"0.0")&amp;" in.* "&amp;TEXT($F$38,"0.0")&amp;" in. / [2 ("&amp;TEXT(H124,"0.0")&amp;" in. + "&amp;TEXT($F$38,"0.0")&amp;" in.) "&amp;TEXT($F$45,"0.0")&amp;" ksi] ="</f>
        <v>1.3 * 12.0 in.* 8.0 in. / [2 (12.0 in. + 8.0 in.) 60.0 ksi] =</v>
      </c>
      <c r="G236" s="2">
        <f>1.3*$H$124*$F$38/(2*($H$124+$F$38)*F45)</f>
        <v>5.2000000000000005E-2</v>
      </c>
      <c r="H236" s="2" t="s">
        <v>434</v>
      </c>
    </row>
    <row r="237" spans="1:10" ht="14.25">
      <c r="A237" s="2" t="s">
        <v>433</v>
      </c>
      <c r="B237" s="2">
        <v>0.11</v>
      </c>
      <c r="C237" s="2" t="s">
        <v>434</v>
      </c>
      <c r="E237" s="2" t="str">
        <f>IF(G236&lt;B237,"- controls","")</f>
        <v>- controls</v>
      </c>
    </row>
    <row r="239" spans="1:10">
      <c r="A239" s="156" t="s">
        <v>242</v>
      </c>
      <c r="B239" s="157"/>
      <c r="C239" s="157"/>
      <c r="D239" s="157"/>
      <c r="E239" s="157"/>
      <c r="F239" s="157"/>
      <c r="G239" s="157"/>
      <c r="H239" s="157"/>
      <c r="I239" s="157"/>
      <c r="J239" s="157"/>
    </row>
    <row r="240" spans="1:10">
      <c r="A240" s="157"/>
      <c r="B240" s="157"/>
      <c r="C240" s="157"/>
      <c r="D240" s="157"/>
      <c r="E240" s="157"/>
      <c r="F240" s="157"/>
      <c r="G240" s="157"/>
      <c r="H240" s="157"/>
      <c r="I240" s="157"/>
      <c r="J240" s="157"/>
    </row>
    <row r="241" spans="1:17">
      <c r="A241" s="157"/>
      <c r="B241" s="157"/>
      <c r="C241" s="157"/>
      <c r="D241" s="157"/>
      <c r="E241" s="157"/>
      <c r="F241" s="157"/>
      <c r="G241" s="157"/>
      <c r="H241" s="157"/>
      <c r="I241" s="157"/>
      <c r="J241" s="157"/>
    </row>
    <row r="243" spans="1:17" ht="14.25">
      <c r="A243" s="2" t="s">
        <v>232</v>
      </c>
      <c r="C243" s="35"/>
      <c r="E243" s="140">
        <v>4</v>
      </c>
      <c r="F243" s="138">
        <v>6</v>
      </c>
      <c r="G243" s="2" t="s">
        <v>233</v>
      </c>
      <c r="H243" s="33" t="s">
        <v>435</v>
      </c>
      <c r="I243" s="29">
        <f>12*(P244/F243)</f>
        <v>0.4</v>
      </c>
      <c r="J243" s="2" t="s">
        <v>434</v>
      </c>
      <c r="N243" s="2" t="s">
        <v>108</v>
      </c>
      <c r="P243" s="2">
        <f>LOOKUP(E243,$M$127:$M$138,$O$127:$O$138)</f>
        <v>0.5</v>
      </c>
      <c r="Q243" s="2" t="s">
        <v>28</v>
      </c>
    </row>
    <row r="244" spans="1:17" ht="13.5">
      <c r="J244" s="87" t="str">
        <f>IF(I243&gt;=B237,"OK","FAILS")</f>
        <v>OK</v>
      </c>
      <c r="N244" s="2" t="s">
        <v>110</v>
      </c>
      <c r="P244" s="2">
        <f>LOOKUP(E243,$M$127:$M$138,$N$127:$N$138)</f>
        <v>0.2</v>
      </c>
      <c r="Q244" s="2" t="s">
        <v>436</v>
      </c>
    </row>
    <row r="246" spans="1:17">
      <c r="A246" s="2" t="s">
        <v>234</v>
      </c>
      <c r="F246" s="2" t="str">
        <f>TEXT(F35,"0.0")&amp;" ft. - "&amp;TEXT(F58,"0.0")&amp; "in. / 12in./ft. ="</f>
        <v>11.0 ft. - 48.0in. / 12in./ft. =</v>
      </c>
      <c r="I246" s="2">
        <f>F35-F58/12</f>
        <v>7</v>
      </c>
      <c r="J246" s="2" t="s">
        <v>66</v>
      </c>
    </row>
    <row r="247" spans="1:17">
      <c r="J247" s="4" t="s">
        <v>235</v>
      </c>
    </row>
    <row r="248" spans="1:17">
      <c r="A248" s="2" t="s">
        <v>236</v>
      </c>
    </row>
    <row r="249" spans="1:17">
      <c r="B249" s="5"/>
    </row>
    <row r="250" spans="1:17">
      <c r="E250" s="34">
        <f>220/(SQRT(I246))/100</f>
        <v>0.83152184062029988</v>
      </c>
      <c r="G250" s="2" t="s">
        <v>237</v>
      </c>
      <c r="H250" s="34">
        <f>MIN(200/(SQRT(I246)), 67)/100</f>
        <v>0.67</v>
      </c>
      <c r="J250" s="4" t="s">
        <v>238</v>
      </c>
    </row>
    <row r="252" spans="1:17" ht="13.5">
      <c r="A252" s="2" t="s">
        <v>239</v>
      </c>
      <c r="H252" s="2">
        <f>I134</f>
        <v>0.62</v>
      </c>
      <c r="I252" s="2" t="s">
        <v>434</v>
      </c>
    </row>
    <row r="253" spans="1:17" ht="14.25">
      <c r="A253" s="2" t="s">
        <v>240</v>
      </c>
      <c r="E253" s="2" t="s">
        <v>437</v>
      </c>
      <c r="F253" s="2" t="str">
        <f>TEXT(H250,"0%")&amp;" * "&amp;TEXT(I134,"0.00")&amp;" in./ft.="</f>
        <v>67% * 0.62 in./ft.=</v>
      </c>
      <c r="H253" s="8">
        <f>H250*H252</f>
        <v>0.41540000000000005</v>
      </c>
      <c r="I253" s="2" t="s">
        <v>434</v>
      </c>
    </row>
    <row r="255" spans="1:17" ht="14.25">
      <c r="A255" s="2" t="s">
        <v>241</v>
      </c>
      <c r="E255" s="140">
        <v>5</v>
      </c>
      <c r="F255" s="139">
        <v>8</v>
      </c>
      <c r="G255" s="2" t="s">
        <v>233</v>
      </c>
      <c r="H255" s="33" t="s">
        <v>438</v>
      </c>
      <c r="I255" s="9">
        <f>12*(P256/F255)</f>
        <v>0.46499999999999997</v>
      </c>
      <c r="J255" s="2" t="s">
        <v>434</v>
      </c>
      <c r="N255" s="2" t="s">
        <v>108</v>
      </c>
      <c r="P255" s="2">
        <f>LOOKUP(E255,$M$127:$M$138,$O$127:$O$138)</f>
        <v>0.625</v>
      </c>
      <c r="Q255" s="2" t="s">
        <v>28</v>
      </c>
    </row>
    <row r="256" spans="1:17" ht="14.25" thickBot="1">
      <c r="J256" s="87" t="str">
        <f>IF(I255&gt;=B237,"OK","FAILS")</f>
        <v>OK</v>
      </c>
      <c r="N256" s="2" t="s">
        <v>110</v>
      </c>
      <c r="P256" s="2">
        <f>LOOKUP(E255,$M$127:$M$138,$N$127:$N$138)</f>
        <v>0.31</v>
      </c>
      <c r="Q256" s="2" t="s">
        <v>436</v>
      </c>
    </row>
    <row r="257" spans="2:10" ht="12.75">
      <c r="B257" s="36" t="s">
        <v>243</v>
      </c>
      <c r="C257" s="37"/>
      <c r="D257" s="37"/>
      <c r="E257" s="37"/>
      <c r="F257" s="37"/>
      <c r="G257" s="38"/>
      <c r="J257" s="87" t="str">
        <f>IF(I255&gt;=H253,"OK","FAILS")</f>
        <v>OK</v>
      </c>
    </row>
    <row r="258" spans="2:10">
      <c r="B258" s="39" t="s">
        <v>444</v>
      </c>
      <c r="G258" s="40">
        <f>F38</f>
        <v>8</v>
      </c>
    </row>
    <row r="259" spans="2:10">
      <c r="B259" s="39" t="s">
        <v>244</v>
      </c>
      <c r="F259" s="41">
        <f>E145</f>
        <v>5</v>
      </c>
      <c r="G259" s="40">
        <f>E146</f>
        <v>5</v>
      </c>
    </row>
    <row r="260" spans="2:10">
      <c r="B260" s="39" t="s">
        <v>245</v>
      </c>
      <c r="F260" s="41">
        <f>E128</f>
        <v>5</v>
      </c>
      <c r="G260" s="40">
        <f>E129</f>
        <v>6</v>
      </c>
    </row>
    <row r="261" spans="2:10">
      <c r="B261" s="39" t="s">
        <v>246</v>
      </c>
      <c r="F261" s="41">
        <f>E243</f>
        <v>4</v>
      </c>
      <c r="G261" s="40">
        <f>F243</f>
        <v>6</v>
      </c>
    </row>
    <row r="262" spans="2:10" ht="12.75" thickBot="1">
      <c r="B262" s="42" t="s">
        <v>247</v>
      </c>
      <c r="C262" s="43"/>
      <c r="D262" s="43"/>
      <c r="E262" s="43"/>
      <c r="F262" s="44">
        <f>E255</f>
        <v>5</v>
      </c>
      <c r="G262" s="45">
        <f>F255</f>
        <v>8</v>
      </c>
    </row>
  </sheetData>
  <mergeCells count="21">
    <mergeCell ref="D192:J193"/>
    <mergeCell ref="C194:J195"/>
    <mergeCell ref="C198:J200"/>
    <mergeCell ref="A231:J232"/>
    <mergeCell ref="A239:J241"/>
    <mergeCell ref="A10:J11"/>
    <mergeCell ref="A66:J67"/>
    <mergeCell ref="A84:J87"/>
    <mergeCell ref="A107:B108"/>
    <mergeCell ref="F107:G107"/>
    <mergeCell ref="C107:E107"/>
    <mergeCell ref="E34:G34"/>
    <mergeCell ref="E56:G56"/>
    <mergeCell ref="E60:G60"/>
    <mergeCell ref="A98:J99"/>
    <mergeCell ref="A119:J122"/>
    <mergeCell ref="A162:J163"/>
    <mergeCell ref="A168:J169"/>
    <mergeCell ref="A188:J189"/>
    <mergeCell ref="A109:B109"/>
    <mergeCell ref="A110:B110"/>
  </mergeCells>
  <conditionalFormatting sqref="A65">
    <cfRule type="containsText" dxfId="539" priority="115" operator="containsText" text="figure">
      <formula>NOT(ISERROR(SEARCH("figure",A65)))</formula>
    </cfRule>
    <cfRule type="cellIs" dxfId="538" priority="116" operator="equal">
      <formula>"fails"</formula>
    </cfRule>
    <cfRule type="cellIs" dxfId="537" priority="117" operator="equal">
      <formula>"ok"</formula>
    </cfRule>
  </conditionalFormatting>
  <conditionalFormatting sqref="A83">
    <cfRule type="containsText" dxfId="536" priority="112" operator="containsText" text="figure">
      <formula>NOT(ISERROR(SEARCH("figure",A83)))</formula>
    </cfRule>
    <cfRule type="cellIs" dxfId="535" priority="113" operator="equal">
      <formula>"fails"</formula>
    </cfRule>
    <cfRule type="cellIs" dxfId="534" priority="114" operator="equal">
      <formula>"ok"</formula>
    </cfRule>
  </conditionalFormatting>
  <conditionalFormatting sqref="A109:A110">
    <cfRule type="containsText" dxfId="533" priority="106" operator="containsText" text="figure">
      <formula>NOT(ISERROR(SEARCH("figure",A109)))</formula>
    </cfRule>
    <cfRule type="cellIs" dxfId="532" priority="107" operator="equal">
      <formula>"fails"</formula>
    </cfRule>
    <cfRule type="cellIs" dxfId="531" priority="108" operator="equal">
      <formula>"ok"</formula>
    </cfRule>
  </conditionalFormatting>
  <conditionalFormatting sqref="A217:C218">
    <cfRule type="containsText" dxfId="530" priority="43" operator="containsText" text="figure">
      <formula>NOT(ISERROR(SEARCH("figure",A217)))</formula>
    </cfRule>
    <cfRule type="cellIs" dxfId="529" priority="44" operator="equal">
      <formula>"fails"</formula>
    </cfRule>
    <cfRule type="cellIs" dxfId="528" priority="45" operator="equal">
      <formula>"ok"</formula>
    </cfRule>
  </conditionalFormatting>
  <conditionalFormatting sqref="A255:C255">
    <cfRule type="containsText" dxfId="527" priority="28" operator="containsText" text="figure">
      <formula>NOT(ISERROR(SEARCH("figure",A255)))</formula>
    </cfRule>
    <cfRule type="cellIs" dxfId="526" priority="29" operator="equal">
      <formula>"fails"</formula>
    </cfRule>
    <cfRule type="cellIs" dxfId="525" priority="30" operator="equal">
      <formula>"ok"</formula>
    </cfRule>
  </conditionalFormatting>
  <conditionalFormatting sqref="A97:K97 A98 A100:K101 A102:B105 C102:K106 F107 A107:C108 K108 C109:C110 J109:K110 H111:K111 I113:K113">
    <cfRule type="containsText" dxfId="524" priority="109" operator="containsText" text="figure">
      <formula>NOT(ISERROR(SEARCH("figure",A97)))</formula>
    </cfRule>
    <cfRule type="cellIs" dxfId="523" priority="110" operator="equal">
      <formula>"fails"</formula>
    </cfRule>
    <cfRule type="cellIs" dxfId="522" priority="111" operator="equal">
      <formula>"ok"</formula>
    </cfRule>
  </conditionalFormatting>
  <conditionalFormatting sqref="E255:F255">
    <cfRule type="containsText" dxfId="521" priority="13" operator="containsText" text="figure">
      <formula>NOT(ISERROR(SEARCH("figure",E255)))</formula>
    </cfRule>
    <cfRule type="cellIs" dxfId="520" priority="14" operator="equal">
      <formula>"fails"</formula>
    </cfRule>
    <cfRule type="cellIs" dxfId="519" priority="15" operator="equal">
      <formula>"ok"</formula>
    </cfRule>
  </conditionalFormatting>
  <conditionalFormatting sqref="H255:I255">
    <cfRule type="containsText" dxfId="518" priority="25" operator="containsText" text="figure">
      <formula>NOT(ISERROR(SEARCH("figure",H255)))</formula>
    </cfRule>
    <cfRule type="cellIs" dxfId="517" priority="26" operator="equal">
      <formula>"fails"</formula>
    </cfRule>
    <cfRule type="cellIs" dxfId="516" priority="27" operator="equal">
      <formula>"ok"</formula>
    </cfRule>
  </conditionalFormatting>
  <conditionalFormatting sqref="I90">
    <cfRule type="containsText" dxfId="515" priority="1" operator="containsText" text="figure">
      <formula>NOT(ISERROR(SEARCH("figure",I90)))</formula>
    </cfRule>
    <cfRule type="cellIs" dxfId="514" priority="2" operator="equal">
      <formula>"fails"</formula>
    </cfRule>
    <cfRule type="cellIs" dxfId="513" priority="3" operator="equal">
      <formula>"ok"</formula>
    </cfRule>
  </conditionalFormatting>
  <conditionalFormatting sqref="M126:O138">
    <cfRule type="containsText" dxfId="512" priority="100" operator="containsText" text="figure">
      <formula>NOT(ISERROR(SEARCH("figure",M126)))</formula>
    </cfRule>
    <cfRule type="cellIs" dxfId="511" priority="101" operator="equal">
      <formula>"fails"</formula>
    </cfRule>
    <cfRule type="cellIs" dxfId="510" priority="102" operator="equal">
      <formula>"ok"</formula>
    </cfRule>
  </conditionalFormatting>
  <conditionalFormatting sqref="N242:Q244">
    <cfRule type="containsText" dxfId="509" priority="10" operator="containsText" text="figure">
      <formula>NOT(ISERROR(SEARCH("figure",N242)))</formula>
    </cfRule>
    <cfRule type="cellIs" dxfId="508" priority="11" operator="equal">
      <formula>"fails"</formula>
    </cfRule>
    <cfRule type="cellIs" dxfId="507" priority="12" operator="equal">
      <formula>"ok"</formula>
    </cfRule>
  </conditionalFormatting>
  <conditionalFormatting sqref="N255:Q256">
    <cfRule type="containsText" dxfId="506" priority="7" operator="containsText" text="figure">
      <formula>NOT(ISERROR(SEARCH("figure",N255)))</formula>
    </cfRule>
    <cfRule type="cellIs" dxfId="505" priority="8" operator="equal">
      <formula>"fails"</formula>
    </cfRule>
    <cfRule type="cellIs" dxfId="504" priority="9" operator="equal">
      <formula>"ok"</formula>
    </cfRule>
  </conditionalFormatting>
  <dataValidations disablePrompts="1" count="1">
    <dataValidation type="list" allowBlank="1" showInputMessage="1" showErrorMessage="1" sqref="C90" xr:uid="{00000000-0002-0000-0000-000000000000}">
      <formula1>$O$89:$O$92</formula1>
    </dataValidation>
  </dataValidations>
  <pageMargins left="1" right="1" top="1" bottom="1" header="0.7" footer="0.7"/>
  <pageSetup scale="90" orientation="portrait" useFirstPageNumber="1" horizontalDpi="1200" verticalDpi="1200" r:id="rId1"/>
  <headerFooter>
    <oddHeader>&amp;L&amp;"Arial,Italic"&amp;9EXAMPLE 6.1 - DECK DESIGN&amp;"-,Regular"&amp;11
===============================================================================================&amp;R&amp;"Arial,Italic"&amp;9&amp;P</oddHeader>
    <oddFooter>&amp;L===============================================================================================
&amp;"Arial,Italic"&amp;9CDOT Bridge Design Manual&amp;R
&amp;"Arial,Italic"&amp;9February 2023</oddFooter>
  </headerFooter>
  <rowBreaks count="4" manualBreakCount="4">
    <brk id="58" max="9" man="1"/>
    <brk id="116" max="9" man="1"/>
    <brk id="166" max="9" man="1"/>
    <brk id="21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47"/>
  <sheetViews>
    <sheetView tabSelected="1" topLeftCell="A95" zoomScale="106" zoomScaleNormal="106" zoomScaleSheetLayoutView="93" workbookViewId="0">
      <selection activeCell="O112" sqref="O112"/>
    </sheetView>
  </sheetViews>
  <sheetFormatPr defaultColWidth="8.85546875" defaultRowHeight="12"/>
  <cols>
    <col min="1" max="1" width="8.85546875" style="2"/>
    <col min="2" max="6" width="8.85546875" style="2" bestFit="1" customWidth="1"/>
    <col min="7" max="7" width="9.140625" style="2" bestFit="1" customWidth="1"/>
    <col min="8" max="9" width="8.85546875" style="2" bestFit="1" customWidth="1"/>
    <col min="10" max="10" width="11.140625" style="2" customWidth="1"/>
    <col min="11" max="11" width="10.85546875" style="2" customWidth="1"/>
    <col min="12" max="15" width="8.5703125" style="2" customWidth="1"/>
    <col min="16" max="16" width="16.28515625" style="2" customWidth="1"/>
    <col min="17" max="17" width="12.7109375" style="2" customWidth="1"/>
    <col min="18" max="18" width="13.140625" style="2" customWidth="1"/>
    <col min="19" max="20" width="8.5703125" style="2" customWidth="1"/>
    <col min="21" max="21" width="9.42578125" style="2" customWidth="1"/>
    <col min="22" max="23" width="8.5703125" style="2" customWidth="1"/>
    <col min="24" max="16384" width="8.85546875" style="2"/>
  </cols>
  <sheetData>
    <row r="1" spans="1:18" ht="14.45" customHeight="1">
      <c r="C1" s="145"/>
      <c r="J1" s="14" t="s">
        <v>520</v>
      </c>
    </row>
    <row r="2" spans="1:18" ht="12.75">
      <c r="A2" s="1" t="s">
        <v>50</v>
      </c>
      <c r="M2" s="2" t="s">
        <v>47</v>
      </c>
      <c r="N2" s="2" t="s">
        <v>48</v>
      </c>
      <c r="O2" s="2" t="s">
        <v>49</v>
      </c>
      <c r="P2" s="172" t="s">
        <v>742</v>
      </c>
      <c r="Q2" s="2" t="s">
        <v>743</v>
      </c>
    </row>
    <row r="3" spans="1:18">
      <c r="A3" s="156" t="s">
        <v>521</v>
      </c>
      <c r="B3" s="157"/>
      <c r="C3" s="157"/>
      <c r="D3" s="157"/>
      <c r="E3" s="157"/>
      <c r="F3" s="157"/>
      <c r="G3" s="157"/>
      <c r="H3" s="157"/>
      <c r="I3" s="157"/>
      <c r="J3" s="157"/>
      <c r="P3" s="172"/>
      <c r="Q3" s="2" t="s">
        <v>744</v>
      </c>
      <c r="R3" s="2" t="s">
        <v>745</v>
      </c>
    </row>
    <row r="4" spans="1:18">
      <c r="A4" s="157"/>
      <c r="B4" s="157"/>
      <c r="C4" s="157"/>
      <c r="D4" s="157"/>
      <c r="E4" s="157"/>
      <c r="F4" s="157"/>
      <c r="G4" s="157"/>
      <c r="H4" s="157"/>
      <c r="I4" s="157"/>
      <c r="J4" s="157"/>
      <c r="M4" s="2">
        <v>3</v>
      </c>
      <c r="N4" s="2">
        <v>0.11</v>
      </c>
      <c r="O4" s="2">
        <v>0.375</v>
      </c>
      <c r="P4" s="29">
        <v>8.3968930265902522</v>
      </c>
      <c r="Q4" s="9">
        <v>17</v>
      </c>
      <c r="R4" s="9">
        <v>22</v>
      </c>
    </row>
    <row r="5" spans="1:18">
      <c r="A5" s="157"/>
      <c r="B5" s="157"/>
      <c r="C5" s="157"/>
      <c r="D5" s="157"/>
      <c r="E5" s="157"/>
      <c r="F5" s="157"/>
      <c r="G5" s="157"/>
      <c r="H5" s="157"/>
      <c r="I5" s="157"/>
      <c r="J5" s="157"/>
      <c r="M5" s="2">
        <v>4</v>
      </c>
      <c r="N5" s="2">
        <v>0.2</v>
      </c>
      <c r="O5" s="2">
        <v>0.5</v>
      </c>
      <c r="P5" s="29">
        <v>11.195857368787003</v>
      </c>
      <c r="Q5" s="9">
        <v>23</v>
      </c>
      <c r="R5" s="9">
        <v>29</v>
      </c>
    </row>
    <row r="6" spans="1:18">
      <c r="A6" s="152" t="s">
        <v>764</v>
      </c>
      <c r="M6" s="2">
        <v>5</v>
      </c>
      <c r="N6" s="2">
        <v>0.31</v>
      </c>
      <c r="O6" s="2">
        <v>0.625</v>
      </c>
      <c r="P6" s="29">
        <v>13.994821710983754</v>
      </c>
      <c r="Q6" s="9">
        <v>28</v>
      </c>
      <c r="R6" s="9">
        <v>36</v>
      </c>
    </row>
    <row r="7" spans="1:18" ht="13.5">
      <c r="A7" s="2" t="s">
        <v>51</v>
      </c>
      <c r="D7" s="4" t="s">
        <v>446</v>
      </c>
      <c r="E7" s="146">
        <f>36+7</f>
        <v>43</v>
      </c>
      <c r="F7" s="2" t="s">
        <v>52</v>
      </c>
      <c r="M7" s="2">
        <v>6</v>
      </c>
      <c r="N7" s="2">
        <v>0.44</v>
      </c>
      <c r="O7" s="2">
        <v>0.75</v>
      </c>
      <c r="P7" s="29">
        <v>16.793786053180504</v>
      </c>
      <c r="Q7" s="9">
        <v>34</v>
      </c>
      <c r="R7" s="9">
        <v>44</v>
      </c>
    </row>
    <row r="8" spans="1:18">
      <c r="A8" s="2" t="s">
        <v>767</v>
      </c>
      <c r="D8" s="4" t="s">
        <v>54</v>
      </c>
      <c r="E8" s="146">
        <v>1.5</v>
      </c>
      <c r="F8" s="2" t="s">
        <v>52</v>
      </c>
      <c r="M8" s="2">
        <v>7</v>
      </c>
      <c r="N8" s="2">
        <v>0.6</v>
      </c>
      <c r="O8" s="2">
        <v>0.875</v>
      </c>
      <c r="P8" s="29">
        <v>19.592750395377255</v>
      </c>
      <c r="Q8" s="9">
        <v>39</v>
      </c>
      <c r="R8" s="9">
        <v>51</v>
      </c>
    </row>
    <row r="9" spans="1:18" ht="13.5">
      <c r="A9" s="2" t="s">
        <v>14</v>
      </c>
      <c r="D9" s="4" t="s">
        <v>384</v>
      </c>
      <c r="E9" s="49">
        <v>1</v>
      </c>
      <c r="F9" s="2" t="s">
        <v>55</v>
      </c>
      <c r="J9" s="4" t="s">
        <v>56</v>
      </c>
      <c r="M9" s="2">
        <v>8</v>
      </c>
      <c r="N9" s="2">
        <v>0.79</v>
      </c>
      <c r="O9" s="2">
        <v>1</v>
      </c>
      <c r="P9" s="29">
        <v>22.391714737574006</v>
      </c>
      <c r="Q9" s="9">
        <v>45</v>
      </c>
      <c r="R9" s="9">
        <v>58</v>
      </c>
    </row>
    <row r="10" spans="1:18" ht="13.5">
      <c r="D10" s="4" t="s">
        <v>447</v>
      </c>
      <c r="E10" s="49">
        <v>0.8</v>
      </c>
      <c r="F10" s="2" t="s">
        <v>57</v>
      </c>
      <c r="J10" s="4" t="s">
        <v>58</v>
      </c>
      <c r="M10" s="2">
        <v>9</v>
      </c>
      <c r="N10" s="2">
        <v>1</v>
      </c>
      <c r="O10" s="2">
        <v>1.1279999999999999</v>
      </c>
      <c r="P10" s="29">
        <v>25.257854223983475</v>
      </c>
      <c r="Q10" s="9">
        <v>57</v>
      </c>
      <c r="R10" s="9">
        <v>73</v>
      </c>
    </row>
    <row r="11" spans="1:18" ht="13.5">
      <c r="D11" s="4" t="s">
        <v>448</v>
      </c>
      <c r="E11" s="49">
        <v>0.8</v>
      </c>
      <c r="F11" s="2" t="s">
        <v>59</v>
      </c>
      <c r="J11" s="4" t="s">
        <v>58</v>
      </c>
      <c r="M11" s="2">
        <v>10</v>
      </c>
      <c r="N11" s="2">
        <v>1.27</v>
      </c>
      <c r="O11" s="2">
        <v>1.27</v>
      </c>
      <c r="P11" s="29">
        <v>28.437477716718988</v>
      </c>
      <c r="Q11" s="9">
        <v>72</v>
      </c>
      <c r="R11" s="9">
        <v>93</v>
      </c>
    </row>
    <row r="12" spans="1:18">
      <c r="A12" s="2" t="s">
        <v>60</v>
      </c>
      <c r="D12" s="4" t="s">
        <v>747</v>
      </c>
      <c r="E12" s="49" t="s">
        <v>61</v>
      </c>
      <c r="J12" s="4" t="s">
        <v>62</v>
      </c>
      <c r="M12" s="2">
        <v>11</v>
      </c>
      <c r="N12" s="2">
        <v>1.56</v>
      </c>
      <c r="O12" s="2">
        <v>1.41</v>
      </c>
      <c r="P12" s="29">
        <v>31.57231777997935</v>
      </c>
      <c r="Q12" s="9">
        <v>88</v>
      </c>
      <c r="R12" s="9">
        <v>115</v>
      </c>
    </row>
    <row r="13" spans="1:18" ht="13.5">
      <c r="A13" s="2" t="s">
        <v>63</v>
      </c>
      <c r="D13" s="4" t="s">
        <v>449</v>
      </c>
      <c r="E13" s="146">
        <v>80</v>
      </c>
      <c r="F13" s="2" t="s">
        <v>64</v>
      </c>
      <c r="J13" s="4" t="s">
        <v>334</v>
      </c>
      <c r="M13" s="2">
        <v>14</v>
      </c>
      <c r="N13" s="2">
        <v>2.25</v>
      </c>
      <c r="O13" s="2">
        <v>1.6930000000000001</v>
      </c>
      <c r="Q13" s="9" t="s">
        <v>746</v>
      </c>
      <c r="R13" s="9" t="s">
        <v>746</v>
      </c>
    </row>
    <row r="14" spans="1:18" ht="13.5">
      <c r="A14" s="2" t="s">
        <v>65</v>
      </c>
      <c r="D14" s="4" t="s">
        <v>450</v>
      </c>
      <c r="E14" s="146">
        <v>5</v>
      </c>
      <c r="F14" s="2" t="s">
        <v>66</v>
      </c>
      <c r="J14" s="4" t="s">
        <v>334</v>
      </c>
      <c r="M14" s="2">
        <v>18</v>
      </c>
      <c r="N14" s="2">
        <v>4</v>
      </c>
      <c r="O14" s="2">
        <v>2.2570000000000001</v>
      </c>
      <c r="Q14" s="9" t="s">
        <v>746</v>
      </c>
      <c r="R14" s="9" t="s">
        <v>746</v>
      </c>
    </row>
    <row r="16" spans="1:18" ht="12.75">
      <c r="A16" s="1" t="s">
        <v>67</v>
      </c>
      <c r="Q16" s="9"/>
      <c r="R16" s="9"/>
    </row>
    <row r="17" spans="1:6" ht="13.5">
      <c r="A17" s="2" t="s">
        <v>68</v>
      </c>
      <c r="D17" s="4" t="s">
        <v>451</v>
      </c>
      <c r="E17" s="49">
        <f>AVERAGE(13,13+7/8)</f>
        <v>13.4375</v>
      </c>
      <c r="F17" s="2" t="s">
        <v>52</v>
      </c>
    </row>
    <row r="18" spans="1:6">
      <c r="A18" s="2" t="s">
        <v>128</v>
      </c>
      <c r="D18" s="4" t="s">
        <v>445</v>
      </c>
      <c r="E18" s="146">
        <v>18</v>
      </c>
      <c r="F18" s="2" t="s">
        <v>52</v>
      </c>
    </row>
    <row r="19" spans="1:6">
      <c r="A19" s="2" t="s">
        <v>130</v>
      </c>
      <c r="D19" s="4" t="s">
        <v>69</v>
      </c>
      <c r="E19" s="49">
        <v>4.5</v>
      </c>
      <c r="F19" s="2" t="s">
        <v>32</v>
      </c>
    </row>
    <row r="20" spans="1:6">
      <c r="A20" s="2" t="s">
        <v>129</v>
      </c>
      <c r="D20" s="4" t="s">
        <v>70</v>
      </c>
      <c r="E20" s="146">
        <v>75</v>
      </c>
      <c r="F20" s="2" t="s">
        <v>32</v>
      </c>
    </row>
    <row r="22" spans="1:6" ht="12.75">
      <c r="A22" s="1" t="s">
        <v>71</v>
      </c>
    </row>
    <row r="23" spans="1:6">
      <c r="A23" s="2" t="s">
        <v>72</v>
      </c>
      <c r="E23" s="49" t="s">
        <v>73</v>
      </c>
    </row>
    <row r="24" spans="1:6">
      <c r="A24" s="2" t="s">
        <v>75</v>
      </c>
      <c r="D24" s="173" t="s">
        <v>76</v>
      </c>
      <c r="E24" s="173"/>
      <c r="F24" s="173"/>
    </row>
    <row r="25" spans="1:6" ht="15" customHeight="1">
      <c r="A25" s="2" t="s">
        <v>77</v>
      </c>
      <c r="D25" s="4" t="s">
        <v>78</v>
      </c>
      <c r="E25" s="49">
        <v>10</v>
      </c>
      <c r="F25" s="2" t="s">
        <v>79</v>
      </c>
    </row>
    <row r="26" spans="1:6" ht="15.75" customHeight="1">
      <c r="A26" s="2" t="s">
        <v>80</v>
      </c>
      <c r="D26" s="4" t="s">
        <v>452</v>
      </c>
      <c r="E26" s="49">
        <f>24+8.5</f>
        <v>32.5</v>
      </c>
      <c r="F26" s="2" t="s">
        <v>52</v>
      </c>
    </row>
    <row r="27" spans="1:6" ht="14.25">
      <c r="A27" s="2" t="s">
        <v>81</v>
      </c>
      <c r="D27" s="4" t="s">
        <v>453</v>
      </c>
      <c r="E27" s="49">
        <v>5.87</v>
      </c>
      <c r="F27" s="2" t="s">
        <v>410</v>
      </c>
    </row>
    <row r="28" spans="1:6">
      <c r="A28" s="2" t="s">
        <v>82</v>
      </c>
      <c r="D28" s="4" t="s">
        <v>83</v>
      </c>
      <c r="E28" s="49">
        <f>6.2-2*0.365</f>
        <v>5.4700000000000006</v>
      </c>
      <c r="F28" s="2" t="s">
        <v>52</v>
      </c>
    </row>
    <row r="29" spans="1:6" ht="13.5">
      <c r="A29" s="2" t="s">
        <v>84</v>
      </c>
      <c r="D29" s="4" t="s">
        <v>454</v>
      </c>
      <c r="E29" s="49">
        <v>0.26</v>
      </c>
      <c r="F29" s="2" t="s">
        <v>52</v>
      </c>
    </row>
    <row r="30" spans="1:6" ht="13.5">
      <c r="A30" s="2" t="s">
        <v>85</v>
      </c>
      <c r="D30" s="4" t="s">
        <v>455</v>
      </c>
      <c r="E30" s="49">
        <v>0.37</v>
      </c>
      <c r="F30" s="2" t="s">
        <v>52</v>
      </c>
    </row>
    <row r="31" spans="1:6" ht="13.5">
      <c r="A31" s="2" t="s">
        <v>332</v>
      </c>
      <c r="D31" s="4" t="s">
        <v>456</v>
      </c>
      <c r="E31" s="49">
        <v>6.02</v>
      </c>
    </row>
    <row r="32" spans="1:6" ht="13.5">
      <c r="A32" s="2" t="s">
        <v>324</v>
      </c>
      <c r="D32" s="4" t="s">
        <v>457</v>
      </c>
      <c r="E32" s="49">
        <v>6.2</v>
      </c>
    </row>
    <row r="33" spans="1:10">
      <c r="D33" s="4" t="s">
        <v>86</v>
      </c>
      <c r="E33" s="49">
        <v>50</v>
      </c>
      <c r="F33" s="2" t="s">
        <v>32</v>
      </c>
      <c r="J33" s="4" t="s">
        <v>74</v>
      </c>
    </row>
    <row r="34" spans="1:10" ht="13.5">
      <c r="D34" s="4" t="s">
        <v>87</v>
      </c>
      <c r="E34" s="49">
        <v>14.9</v>
      </c>
      <c r="F34" s="2" t="s">
        <v>420</v>
      </c>
      <c r="I34" s="2" t="s">
        <v>88</v>
      </c>
    </row>
    <row r="35" spans="1:10" ht="13.5">
      <c r="A35" s="2" t="s">
        <v>763</v>
      </c>
      <c r="D35" s="4" t="s">
        <v>459</v>
      </c>
      <c r="E35" s="3">
        <f>E33*E34/12</f>
        <v>62.083333333333336</v>
      </c>
      <c r="F35" s="2" t="s">
        <v>132</v>
      </c>
    </row>
    <row r="37" spans="1:10" ht="12.75">
      <c r="A37" s="1" t="s">
        <v>89</v>
      </c>
      <c r="J37" s="4" t="s">
        <v>91</v>
      </c>
    </row>
    <row r="38" spans="1:10">
      <c r="A38" s="2" t="s">
        <v>72</v>
      </c>
      <c r="D38" s="173" t="s">
        <v>90</v>
      </c>
      <c r="E38" s="173"/>
      <c r="F38" s="173"/>
    </row>
    <row r="39" spans="1:10">
      <c r="A39" s="2" t="s">
        <v>75</v>
      </c>
      <c r="D39" s="173" t="s">
        <v>92</v>
      </c>
      <c r="E39" s="173"/>
      <c r="F39" s="173"/>
    </row>
    <row r="40" spans="1:10" ht="14.25">
      <c r="A40" s="2" t="s">
        <v>93</v>
      </c>
      <c r="D40" s="4" t="s">
        <v>460</v>
      </c>
      <c r="E40" s="49">
        <v>5.59</v>
      </c>
      <c r="F40" s="2" t="s">
        <v>410</v>
      </c>
    </row>
    <row r="41" spans="1:10">
      <c r="A41" s="2" t="s">
        <v>94</v>
      </c>
      <c r="D41" s="4" t="s">
        <v>762</v>
      </c>
      <c r="E41" s="49">
        <v>2</v>
      </c>
      <c r="F41" s="2" t="s">
        <v>95</v>
      </c>
    </row>
    <row r="42" spans="1:10">
      <c r="D42" s="4" t="s">
        <v>96</v>
      </c>
      <c r="E42" s="146">
        <v>50</v>
      </c>
      <c r="F42" s="2" t="s">
        <v>32</v>
      </c>
    </row>
    <row r="43" spans="1:10" ht="13.5">
      <c r="D43" s="4" t="s">
        <v>97</v>
      </c>
      <c r="E43" s="49">
        <v>11.2</v>
      </c>
      <c r="F43" s="2" t="s">
        <v>420</v>
      </c>
    </row>
    <row r="44" spans="1:10" ht="13.5">
      <c r="A44" s="2" t="s">
        <v>458</v>
      </c>
      <c r="D44" s="4" t="s">
        <v>461</v>
      </c>
      <c r="E44" s="3">
        <f>E41*E43*E42/12</f>
        <v>93.333333333333329</v>
      </c>
      <c r="F44" s="2" t="s">
        <v>132</v>
      </c>
    </row>
    <row r="46" spans="1:10" ht="12.75">
      <c r="A46" s="1" t="s">
        <v>98</v>
      </c>
    </row>
    <row r="47" spans="1:10" ht="13.5">
      <c r="A47" s="2" t="s">
        <v>99</v>
      </c>
      <c r="D47" s="4" t="s">
        <v>462</v>
      </c>
      <c r="E47" s="146">
        <f>9+1.5+1.5</f>
        <v>12</v>
      </c>
      <c r="F47" s="2" t="s">
        <v>52</v>
      </c>
    </row>
    <row r="48" spans="1:10" ht="13.5">
      <c r="A48" s="2" t="s">
        <v>313</v>
      </c>
      <c r="D48" s="4" t="s">
        <v>463</v>
      </c>
      <c r="E48" s="49">
        <f>11/16</f>
        <v>0.6875</v>
      </c>
      <c r="F48" s="2" t="s">
        <v>52</v>
      </c>
    </row>
    <row r="49" spans="1:10" ht="13.5">
      <c r="A49" s="2" t="s">
        <v>100</v>
      </c>
      <c r="D49" s="4" t="s">
        <v>464</v>
      </c>
      <c r="E49" s="146">
        <v>10</v>
      </c>
      <c r="F49" s="2" t="s">
        <v>52</v>
      </c>
    </row>
    <row r="50" spans="1:10">
      <c r="A50" s="2" t="s">
        <v>101</v>
      </c>
      <c r="D50" s="4" t="s">
        <v>102</v>
      </c>
      <c r="E50" s="49">
        <f>7/8</f>
        <v>0.875</v>
      </c>
      <c r="F50" s="2" t="s">
        <v>52</v>
      </c>
    </row>
    <row r="51" spans="1:10" ht="13.5">
      <c r="A51" s="2" t="s">
        <v>103</v>
      </c>
      <c r="D51" s="4" t="s">
        <v>465</v>
      </c>
      <c r="E51" s="146">
        <v>120</v>
      </c>
      <c r="F51" s="2" t="s">
        <v>32</v>
      </c>
    </row>
    <row r="52" spans="1:10" ht="13.5">
      <c r="A52" s="2" t="s">
        <v>104</v>
      </c>
      <c r="D52" s="4" t="s">
        <v>466</v>
      </c>
      <c r="E52" s="49">
        <v>2</v>
      </c>
      <c r="J52" s="4"/>
    </row>
    <row r="78" spans="1:10" ht="12.75">
      <c r="A78" s="1" t="s">
        <v>105</v>
      </c>
    </row>
    <row r="79" spans="1:10">
      <c r="A79" s="170" t="s">
        <v>522</v>
      </c>
      <c r="B79" s="171"/>
      <c r="C79" s="171"/>
      <c r="D79" s="171"/>
      <c r="E79" s="171"/>
      <c r="F79" s="171"/>
      <c r="G79" s="171"/>
      <c r="H79" s="171"/>
      <c r="I79" s="171"/>
      <c r="J79" s="171"/>
    </row>
    <row r="80" spans="1:10">
      <c r="A80" s="171"/>
      <c r="B80" s="171"/>
      <c r="C80" s="171"/>
      <c r="D80" s="171"/>
      <c r="E80" s="171"/>
      <c r="F80" s="171"/>
      <c r="G80" s="171"/>
      <c r="H80" s="171"/>
      <c r="I80" s="171"/>
      <c r="J80" s="171"/>
    </row>
    <row r="82" spans="1:11">
      <c r="A82" s="2" t="s">
        <v>106</v>
      </c>
      <c r="E82" s="4" t="s">
        <v>107</v>
      </c>
      <c r="F82" s="46">
        <v>4</v>
      </c>
      <c r="G82" s="2" t="s">
        <v>108</v>
      </c>
      <c r="I82" s="9">
        <f>LOOKUP(F82,$M$2:$M$14,$O$2:$O$14)</f>
        <v>0.5</v>
      </c>
      <c r="J82" s="2" t="s">
        <v>52</v>
      </c>
    </row>
    <row r="83" spans="1:11" ht="13.5">
      <c r="E83" s="4" t="s">
        <v>109</v>
      </c>
      <c r="F83" s="49">
        <v>2</v>
      </c>
      <c r="G83" s="2" t="s">
        <v>110</v>
      </c>
      <c r="I83" s="9">
        <f>LOOKUP(F82,$M$4:$M$14,$N$4:$N$14)</f>
        <v>0.2</v>
      </c>
      <c r="J83" s="2" t="s">
        <v>436</v>
      </c>
    </row>
    <row r="84" spans="1:11">
      <c r="G84" s="2" t="s">
        <v>111</v>
      </c>
      <c r="I84" s="9">
        <f>I95</f>
        <v>0.5</v>
      </c>
      <c r="J84" s="2" t="s">
        <v>52</v>
      </c>
    </row>
    <row r="85" spans="1:11">
      <c r="G85" s="2" t="s">
        <v>112</v>
      </c>
      <c r="I85" s="47">
        <v>13</v>
      </c>
      <c r="J85" s="2" t="s">
        <v>52</v>
      </c>
    </row>
    <row r="86" spans="1:11" ht="14.25">
      <c r="A86" s="2" t="s">
        <v>113</v>
      </c>
      <c r="D86" s="5" t="s">
        <v>467</v>
      </c>
      <c r="I86" s="9">
        <f>I83*F83</f>
        <v>0.4</v>
      </c>
      <c r="J86" s="2" t="s">
        <v>434</v>
      </c>
    </row>
    <row r="87" spans="1:11" ht="13.5">
      <c r="A87" s="2" t="s">
        <v>114</v>
      </c>
      <c r="D87" s="2" t="s">
        <v>468</v>
      </c>
      <c r="I87" s="29">
        <f>$E$18-$E$8-I84-0.5*I82</f>
        <v>15.75</v>
      </c>
      <c r="J87" s="2" t="s">
        <v>52</v>
      </c>
    </row>
    <row r="88" spans="1:11">
      <c r="A88" s="2" t="s">
        <v>115</v>
      </c>
    </row>
    <row r="89" spans="1:11" ht="32.25" customHeight="1">
      <c r="E89" s="11" t="str">
        <f>TEXT(I86,"0.00")&amp;" in. * "&amp;TEXT($E$20,"0.0")&amp;" ksi / (0.85 * "&amp;TEXT($E$19,"0.00")&amp;" ksi * "&amp;TEXT(I85,"0.0")&amp;" in.) ="</f>
        <v>0.40 in. * 75.0 ksi / (0.85 * 4.50 ksi * 13.0 in.) =</v>
      </c>
      <c r="F89" s="11"/>
      <c r="G89" s="11"/>
      <c r="H89" s="11"/>
      <c r="I89" s="48">
        <f>I86*$E$20/(0.85*$E$19*I85)</f>
        <v>0.60331825037707398</v>
      </c>
      <c r="J89" s="11" t="s">
        <v>52</v>
      </c>
    </row>
    <row r="90" spans="1:11" ht="38.25" customHeight="1">
      <c r="A90" s="11" t="s">
        <v>116</v>
      </c>
    </row>
    <row r="91" spans="1:11">
      <c r="C91" s="2" t="str">
        <f>TEXT($E$9,"0.0")&amp;" * "&amp;TEXT(I86,"0.00")&amp;" in. * "&amp;TEXT($E$20,"0.0")&amp;" ksi * ("&amp;TEXT(I87,"0.00")&amp;" in. - "&amp;TEXT(I89,"0.00")&amp;" in. / 2) / 12 in./ft. ="</f>
        <v>1.0 * 0.40 in. * 75.0 ksi * (15.75 in. - 0.60 in. / 2) / 12 in./ft. =</v>
      </c>
      <c r="I91" s="29">
        <f>I86*$E$20*(I87-I89/2)/12</f>
        <v>38.620852187028653</v>
      </c>
      <c r="J91" s="2" t="s">
        <v>117</v>
      </c>
    </row>
    <row r="93" spans="1:11">
      <c r="A93" s="170" t="s">
        <v>748</v>
      </c>
      <c r="B93" s="171"/>
      <c r="C93" s="171"/>
      <c r="D93" s="171"/>
      <c r="E93" s="171"/>
      <c r="F93" s="171"/>
      <c r="G93" s="171"/>
      <c r="H93" s="171"/>
      <c r="I93" s="171"/>
      <c r="J93" s="171"/>
    </row>
    <row r="94" spans="1:11">
      <c r="A94" s="171"/>
      <c r="B94" s="171"/>
      <c r="C94" s="171"/>
      <c r="D94" s="171"/>
      <c r="E94" s="171"/>
      <c r="F94" s="171"/>
      <c r="G94" s="171"/>
      <c r="H94" s="171"/>
      <c r="I94" s="171"/>
      <c r="J94" s="171"/>
    </row>
    <row r="95" spans="1:11" ht="15">
      <c r="A95" s="144"/>
      <c r="B95" s="2" t="s">
        <v>318</v>
      </c>
      <c r="D95" s="46">
        <v>4</v>
      </c>
      <c r="F95" s="2" t="s">
        <v>108</v>
      </c>
      <c r="I95" s="9">
        <f>LOOKUP(D95,$M$2:$M$14,$O$2:$O$14)</f>
        <v>0.5</v>
      </c>
      <c r="J95" s="2" t="s">
        <v>52</v>
      </c>
    </row>
    <row r="96" spans="1:11" ht="15">
      <c r="A96" s="144"/>
      <c r="B96" s="2" t="s">
        <v>317</v>
      </c>
      <c r="D96" s="147">
        <v>10</v>
      </c>
      <c r="E96" s="2" t="s">
        <v>749</v>
      </c>
      <c r="F96" s="2" t="s">
        <v>110</v>
      </c>
      <c r="I96" s="9">
        <f>D107*I98</f>
        <v>0.16351428374967825</v>
      </c>
      <c r="J96" s="2" t="s">
        <v>436</v>
      </c>
      <c r="K96" s="2" t="s">
        <v>750</v>
      </c>
    </row>
    <row r="97" spans="1:12" ht="15">
      <c r="A97" s="144"/>
      <c r="B97" s="144"/>
      <c r="C97" s="144"/>
      <c r="D97" s="144"/>
      <c r="E97" s="144"/>
      <c r="F97" s="144"/>
      <c r="G97" s="144"/>
      <c r="H97" s="144"/>
      <c r="I97" s="144"/>
      <c r="J97" s="144"/>
      <c r="K97" s="2" t="s">
        <v>751</v>
      </c>
      <c r="L97" s="8">
        <f>D107</f>
        <v>0.81757141874839123</v>
      </c>
    </row>
    <row r="98" spans="1:12" ht="15">
      <c r="A98" t="s">
        <v>752</v>
      </c>
      <c r="B98"/>
      <c r="C98"/>
      <c r="D98"/>
      <c r="E98"/>
      <c r="F98" s="2" t="s">
        <v>110</v>
      </c>
      <c r="I98" s="9">
        <f>LOOKUP(D95,$M$4:$M$14,$N$4:$N$14)</f>
        <v>0.2</v>
      </c>
      <c r="J98" s="2" t="s">
        <v>436</v>
      </c>
    </row>
    <row r="99" spans="1:12" ht="39" customHeight="1">
      <c r="A99"/>
      <c r="D99"/>
      <c r="E99"/>
      <c r="F99" s="95" t="s">
        <v>773</v>
      </c>
      <c r="G99"/>
      <c r="H99"/>
      <c r="I99"/>
      <c r="J99" s="144"/>
    </row>
    <row r="100" spans="1:12" ht="16.5" customHeight="1">
      <c r="A100"/>
      <c r="C100"/>
      <c r="D100" s="2" t="str">
        <f>"= (2.4 * "&amp;TEXT(I82,"0.0")&amp;"in ) ("&amp;TEXT(E20,"0")&amp;"ksi / sqrt("&amp;TEXT(E19,"0.0")&amp;"ksi)) * (1)"</f>
        <v>= (2.4 * 0.5in ) (75ksi / sqrt(4.5ksi)) * (1)</v>
      </c>
      <c r="F100"/>
      <c r="G100"/>
      <c r="H100"/>
      <c r="I100" s="29">
        <f>LOOKUP(D95,$M$2:$M$14,$Q$2:$Q$14)</f>
        <v>23</v>
      </c>
      <c r="J100" s="2" t="s">
        <v>52</v>
      </c>
    </row>
    <row r="101" spans="1:12" ht="15">
      <c r="A101" t="s">
        <v>753</v>
      </c>
      <c r="B101"/>
      <c r="C101"/>
      <c r="D101"/>
      <c r="E101"/>
      <c r="F101"/>
      <c r="G101"/>
      <c r="H101"/>
      <c r="I101"/>
      <c r="J101" s="144"/>
    </row>
    <row r="102" spans="1:12" ht="41.25" customHeight="1">
      <c r="A102"/>
      <c r="D102"/>
      <c r="E102"/>
      <c r="F102" s="95" t="s">
        <v>773</v>
      </c>
      <c r="G102"/>
      <c r="H102"/>
      <c r="I102"/>
      <c r="J102" s="144"/>
    </row>
    <row r="103" spans="1:12" ht="15" customHeight="1">
      <c r="A103"/>
      <c r="C103"/>
      <c r="D103" s="2" t="str">
        <f>"= (38.0 * "&amp;TEXT(I82,"0.0")&amp;"in / 60) ("&amp;TEXT(E20,"0")&amp;"ksi / sqrt("&amp;TEXT(E19,"0.0")&amp;"ksi)) * (1)"</f>
        <v>= (38.0 * 0.5in / 60) (75ksi / sqrt(4.5ksi)) * (1)</v>
      </c>
      <c r="I103" s="29">
        <f>LOOKUP(D95,$M$2:$M$14,$P$2:$P$14)</f>
        <v>11.195857368787003</v>
      </c>
      <c r="J103" s="151" t="s">
        <v>52</v>
      </c>
    </row>
    <row r="104" spans="1:12">
      <c r="A104" s="2" t="s">
        <v>754</v>
      </c>
      <c r="J104" s="154"/>
    </row>
    <row r="105" spans="1:12">
      <c r="A105" s="8">
        <f>I100-I103</f>
        <v>11.804142631212997</v>
      </c>
      <c r="B105" s="2" t="s">
        <v>28</v>
      </c>
      <c r="J105" s="154"/>
    </row>
    <row r="106" spans="1:12" ht="16.5" customHeight="1">
      <c r="A106" s="2" t="s">
        <v>755</v>
      </c>
      <c r="F106" s="49">
        <v>7</v>
      </c>
      <c r="G106" s="2" t="s">
        <v>28</v>
      </c>
      <c r="H106" s="2" t="s">
        <v>756</v>
      </c>
      <c r="J106" s="154"/>
    </row>
    <row r="107" spans="1:12">
      <c r="A107" s="2" t="s">
        <v>757</v>
      </c>
      <c r="D107" s="155">
        <f>(F106+A105)/I100</f>
        <v>0.81757141874839123</v>
      </c>
      <c r="J107" s="154"/>
    </row>
    <row r="108" spans="1:12" ht="15">
      <c r="A108"/>
      <c r="B108"/>
      <c r="C108"/>
      <c r="D108"/>
      <c r="E108"/>
      <c r="F108"/>
      <c r="G108"/>
      <c r="H108"/>
      <c r="I108"/>
    </row>
    <row r="109" spans="1:12" ht="14.25">
      <c r="A109" s="2" t="s">
        <v>113</v>
      </c>
      <c r="D109" s="5" t="s">
        <v>469</v>
      </c>
      <c r="I109" s="29">
        <f>I96*12/D96</f>
        <v>0.19621714049961389</v>
      </c>
      <c r="J109" s="2" t="s">
        <v>434</v>
      </c>
    </row>
    <row r="110" spans="1:12" ht="13.5">
      <c r="A110" s="2" t="s">
        <v>114</v>
      </c>
      <c r="D110" s="2" t="s">
        <v>470</v>
      </c>
      <c r="I110" s="29">
        <f>$E$18-$E$8-I95*0.5</f>
        <v>16.25</v>
      </c>
      <c r="J110" s="2" t="s">
        <v>52</v>
      </c>
    </row>
    <row r="111" spans="1:12" ht="37.5" customHeight="1">
      <c r="A111" s="11" t="s">
        <v>115</v>
      </c>
      <c r="B111" s="11"/>
      <c r="C111" s="11"/>
      <c r="D111" s="11"/>
      <c r="E111" s="11"/>
      <c r="F111" s="11"/>
      <c r="G111" s="11"/>
      <c r="I111" s="54">
        <f>I109*$E$20/(0.85*$E$19*12)</f>
        <v>0.32061624264642791</v>
      </c>
      <c r="J111" s="11" t="s">
        <v>52</v>
      </c>
    </row>
    <row r="112" spans="1:12" ht="38.25" customHeight="1">
      <c r="A112" s="11" t="s">
        <v>118</v>
      </c>
      <c r="B112" s="11"/>
      <c r="C112" s="11"/>
      <c r="D112" s="11"/>
      <c r="E112" s="11"/>
      <c r="F112" s="11"/>
      <c r="G112" s="11"/>
      <c r="I112" s="54">
        <f>I109*$E$20*(I110-I111/2)/12</f>
        <v>19.73170832471137</v>
      </c>
      <c r="J112" s="11" t="s">
        <v>119</v>
      </c>
    </row>
    <row r="113" spans="1:13" ht="50.25" customHeight="1">
      <c r="A113" s="11" t="s">
        <v>120</v>
      </c>
      <c r="B113" s="11"/>
      <c r="C113" s="11"/>
      <c r="D113" s="11"/>
      <c r="E113" s="11"/>
      <c r="F113" s="11"/>
      <c r="G113" s="11"/>
      <c r="I113" s="54">
        <f>$E$14/2+SQRT(($E$14/2)^2+8*($E$17/12)*(0+$I$91)/I112)</f>
        <v>7.376898247708719</v>
      </c>
      <c r="J113" s="11" t="s">
        <v>66</v>
      </c>
    </row>
    <row r="114" spans="1:13" ht="13.5">
      <c r="A114" s="2" t="s">
        <v>471</v>
      </c>
      <c r="I114" s="5"/>
    </row>
    <row r="116" spans="1:13" ht="15">
      <c r="A116" s="50" t="s">
        <v>523</v>
      </c>
    </row>
    <row r="118" spans="1:13" ht="27.75" customHeight="1">
      <c r="G118" s="148">
        <f>(2/(2*I113-E14))*(8*0+8*$I$91+($I$112*I113^2)/($E$17/12))</f>
        <v>259.97479512980152</v>
      </c>
      <c r="H118" s="11" t="s">
        <v>122</v>
      </c>
      <c r="I118" s="11"/>
      <c r="J118" s="25" t="s">
        <v>123</v>
      </c>
      <c r="K118" s="2" t="s">
        <v>758</v>
      </c>
      <c r="L118" s="16">
        <f>E13</f>
        <v>80</v>
      </c>
      <c r="M118" s="2" t="s">
        <v>759</v>
      </c>
    </row>
    <row r="119" spans="1:13">
      <c r="K119" s="149" t="str">
        <f>IF(G118&gt;L118,"OK","NG")</f>
        <v>OK</v>
      </c>
    </row>
    <row r="120" spans="1:13" ht="15">
      <c r="A120" s="50" t="s">
        <v>524</v>
      </c>
    </row>
    <row r="122" spans="1:13">
      <c r="A122" s="51" t="s">
        <v>322</v>
      </c>
    </row>
    <row r="123" spans="1:13" ht="13.5">
      <c r="A123" s="2" t="s">
        <v>141</v>
      </c>
      <c r="D123" s="2" t="s">
        <v>459</v>
      </c>
      <c r="E123" s="8">
        <f>E35</f>
        <v>62.083333333333336</v>
      </c>
      <c r="F123" s="2" t="s">
        <v>132</v>
      </c>
    </row>
    <row r="124" spans="1:13" ht="13.5">
      <c r="A124" s="2" t="s">
        <v>319</v>
      </c>
      <c r="D124" s="2" t="s">
        <v>472</v>
      </c>
      <c r="E124" s="8">
        <f>E26-E17</f>
        <v>19.0625</v>
      </c>
      <c r="F124" s="2" t="s">
        <v>28</v>
      </c>
    </row>
    <row r="125" spans="1:13" ht="13.5">
      <c r="A125" s="2" t="s">
        <v>509</v>
      </c>
      <c r="E125" s="8"/>
    </row>
    <row r="126" spans="1:13" ht="13.5">
      <c r="B126" s="2" t="s">
        <v>473</v>
      </c>
      <c r="D126" s="2" t="s">
        <v>474</v>
      </c>
      <c r="E126" s="8">
        <f>E123/(E124/12)</f>
        <v>39.081967213114751</v>
      </c>
      <c r="F126" s="2" t="s">
        <v>122</v>
      </c>
    </row>
    <row r="128" spans="1:13">
      <c r="A128" s="51" t="s">
        <v>330</v>
      </c>
    </row>
    <row r="129" spans="1:10" ht="13.5">
      <c r="A129" s="2" t="s">
        <v>323</v>
      </c>
      <c r="D129" s="2" t="s">
        <v>510</v>
      </c>
      <c r="E129" s="15">
        <f>5/16</f>
        <v>0.3125</v>
      </c>
      <c r="F129" s="2" t="s">
        <v>28</v>
      </c>
    </row>
    <row r="130" spans="1:10" ht="13.5">
      <c r="A130" s="2" t="s">
        <v>774</v>
      </c>
      <c r="D130" s="2" t="s">
        <v>511</v>
      </c>
      <c r="E130" s="8">
        <f>E129*0.707</f>
        <v>0.22093749999999998</v>
      </c>
      <c r="F130" s="2" t="s">
        <v>28</v>
      </c>
    </row>
    <row r="132" spans="1:10">
      <c r="A132" s="2" t="s">
        <v>325</v>
      </c>
    </row>
    <row r="134" spans="1:10" ht="14.25">
      <c r="D134" s="2" t="s">
        <v>475</v>
      </c>
      <c r="E134" s="8">
        <f>(2*E32*E31+E32^2/3)*E130</f>
        <v>19.32348833333333</v>
      </c>
      <c r="F134" s="2" t="s">
        <v>512</v>
      </c>
    </row>
    <row r="135" spans="1:10" ht="13.5">
      <c r="A135" s="2" t="s">
        <v>326</v>
      </c>
      <c r="D135" s="2" t="s">
        <v>476</v>
      </c>
      <c r="E135" s="8">
        <v>70</v>
      </c>
      <c r="F135" s="2" t="s">
        <v>32</v>
      </c>
    </row>
    <row r="136" spans="1:10" ht="13.5">
      <c r="A136" s="2" t="s">
        <v>327</v>
      </c>
      <c r="D136" s="2" t="s">
        <v>477</v>
      </c>
      <c r="E136" s="8">
        <f>0.6*E135*E134/12</f>
        <v>67.632209166666655</v>
      </c>
      <c r="F136" s="2" t="s">
        <v>132</v>
      </c>
      <c r="G136" s="2" t="s">
        <v>478</v>
      </c>
    </row>
    <row r="137" spans="1:10" ht="13.5">
      <c r="A137" s="2" t="s">
        <v>328</v>
      </c>
      <c r="D137" s="2" t="s">
        <v>479</v>
      </c>
      <c r="E137" s="8">
        <f>E136/(E124/12)</f>
        <v>42.575030032786877</v>
      </c>
      <c r="F137" s="2" t="s">
        <v>122</v>
      </c>
    </row>
    <row r="139" spans="1:10">
      <c r="A139" s="51" t="s">
        <v>333</v>
      </c>
    </row>
    <row r="140" spans="1:10">
      <c r="A140" s="2" t="s">
        <v>329</v>
      </c>
      <c r="J140" s="4" t="s">
        <v>331</v>
      </c>
    </row>
    <row r="141" spans="1:10" ht="13.5">
      <c r="A141" s="2" t="s">
        <v>480</v>
      </c>
      <c r="B141" s="2" t="str">
        <f>"= 0.45 * (pi * "&amp;TEXT(E50,"##/##")&amp;" in ^2)/4 * "&amp;TEXT(E51,"0.0")&amp;" ksi * "&amp;TEXT(E52,"##")&amp;""</f>
        <v>= 0.45 * (pi * 7/8 in ^2)/4 * 120.0 ksi * 2</v>
      </c>
      <c r="F141" s="4" t="s">
        <v>481</v>
      </c>
      <c r="G141" s="29">
        <f>0.45*PI()*E50^2/4*E51*E52</f>
        <v>64.942610635926499</v>
      </c>
      <c r="H141" s="2" t="s">
        <v>122</v>
      </c>
      <c r="J141" s="4"/>
    </row>
    <row r="142" spans="1:10">
      <c r="J142" s="4"/>
    </row>
    <row r="143" spans="1:10">
      <c r="A143" s="51" t="s">
        <v>336</v>
      </c>
      <c r="J143" s="4"/>
    </row>
    <row r="144" spans="1:10" ht="13.5">
      <c r="A144" s="2" t="s">
        <v>335</v>
      </c>
      <c r="D144" s="4" t="s">
        <v>482</v>
      </c>
      <c r="E144" s="110">
        <v>9</v>
      </c>
      <c r="F144" s="2" t="s">
        <v>28</v>
      </c>
      <c r="J144" s="4" t="s">
        <v>341</v>
      </c>
    </row>
    <row r="145" spans="1:10" ht="13.5">
      <c r="A145" s="2" t="s">
        <v>483</v>
      </c>
    </row>
    <row r="146" spans="1:10" ht="14.25">
      <c r="A146" s="2" t="s">
        <v>484</v>
      </c>
      <c r="D146" s="2">
        <f>(E144+3*E49)*1.5*E49</f>
        <v>585</v>
      </c>
      <c r="E146" s="2" t="s">
        <v>436</v>
      </c>
      <c r="F146" s="2" t="str">
        <f>"("&amp;TEXT(E144,"0.0")&amp;" in + 3 * "&amp;TEXT(E49,"0.0")&amp;" in) * 1.5 * "&amp;TEXT(E49,"0.0")&amp;" in"</f>
        <v>(9.0 in + 3 * 10.0 in) * 1.5 * 10.0 in</v>
      </c>
    </row>
    <row r="147" spans="1:10" ht="14.25">
      <c r="A147" s="2" t="s">
        <v>346</v>
      </c>
      <c r="C147" s="2" t="s">
        <v>485</v>
      </c>
      <c r="D147" s="2">
        <f>E52*4.5*E49^2</f>
        <v>900</v>
      </c>
      <c r="E147" s="2" t="s">
        <v>436</v>
      </c>
      <c r="G147" s="2" t="s">
        <v>486</v>
      </c>
      <c r="H147" s="9">
        <f>D147/E52</f>
        <v>450</v>
      </c>
      <c r="I147" s="2" t="s">
        <v>436</v>
      </c>
    </row>
    <row r="151" spans="1:10" ht="13.5">
      <c r="A151" s="2" t="s">
        <v>529</v>
      </c>
      <c r="J151" s="4" t="s">
        <v>342</v>
      </c>
    </row>
    <row r="152" spans="1:10" ht="13.5">
      <c r="A152" s="2" t="s">
        <v>530</v>
      </c>
      <c r="J152" s="4" t="s">
        <v>343</v>
      </c>
    </row>
    <row r="153" spans="1:10" ht="13.5">
      <c r="A153" s="2" t="s">
        <v>531</v>
      </c>
      <c r="J153" s="4" t="s">
        <v>344</v>
      </c>
    </row>
    <row r="154" spans="1:10" ht="13.5">
      <c r="A154" s="2" t="s">
        <v>487</v>
      </c>
      <c r="D154" s="2">
        <v>10.75</v>
      </c>
      <c r="E154" s="2" t="s">
        <v>28</v>
      </c>
    </row>
    <row r="155" spans="1:10" ht="13.5">
      <c r="B155" s="2" t="s">
        <v>488</v>
      </c>
      <c r="D155" s="8">
        <f>1.5*E49</f>
        <v>15</v>
      </c>
      <c r="E155" s="2" t="s">
        <v>28</v>
      </c>
    </row>
    <row r="157" spans="1:10">
      <c r="D157" s="15">
        <f>SQRT(D155/D154)</f>
        <v>1.1812488464372366</v>
      </c>
      <c r="J157" s="4" t="s">
        <v>345</v>
      </c>
    </row>
    <row r="160" spans="1:10">
      <c r="A160" s="2" t="s">
        <v>338</v>
      </c>
    </row>
    <row r="163" spans="1:10" ht="13.5">
      <c r="D163" s="9" t="s">
        <v>525</v>
      </c>
      <c r="E163" s="29">
        <f>7*(D164/E50)^0.2*1*SQRT(E50)*SQRT(E19*1000)*E49^1.5/1000</f>
        <v>21.053597738497832</v>
      </c>
      <c r="F163" s="2" t="s">
        <v>122</v>
      </c>
      <c r="H163" s="9" t="s">
        <v>526</v>
      </c>
      <c r="I163" s="29">
        <f>9*1*SQRT(E19*1000)*E49^1.5/1000</f>
        <v>19.091883092036792</v>
      </c>
      <c r="J163" s="2" t="s">
        <v>122</v>
      </c>
    </row>
    <row r="164" spans="1:10" ht="13.5">
      <c r="A164" s="2" t="s">
        <v>489</v>
      </c>
      <c r="D164" s="2">
        <f>MIN(8*E50,D154)</f>
        <v>7</v>
      </c>
      <c r="E164" s="2" t="s">
        <v>28</v>
      </c>
      <c r="F164" s="2" t="s">
        <v>527</v>
      </c>
    </row>
    <row r="165" spans="1:10" ht="13.5">
      <c r="A165" s="53" t="s">
        <v>528</v>
      </c>
    </row>
    <row r="166" spans="1:10" ht="13.5">
      <c r="A166" s="2" t="s">
        <v>337</v>
      </c>
      <c r="D166" s="9" t="s">
        <v>490</v>
      </c>
      <c r="E166" s="29">
        <f>MIN(7*(D164/E50)^0.2*1*SQRT(E50)*SQRT(E19*1000)*E49^1.5,9*1*SQRT(E19*1000)*E49^1.5)/1000</f>
        <v>19.091883092036792</v>
      </c>
      <c r="F166" s="2" t="s">
        <v>122</v>
      </c>
    </row>
    <row r="167" spans="1:10">
      <c r="D167" s="9"/>
      <c r="E167" s="29"/>
    </row>
    <row r="168" spans="1:10" ht="13.5">
      <c r="A168" s="2" t="s">
        <v>339</v>
      </c>
      <c r="D168" s="9" t="s">
        <v>491</v>
      </c>
      <c r="E168" s="29">
        <f>E166*D146*1*1*1.4*D157/H147</f>
        <v>41.045122079385131</v>
      </c>
      <c r="F168" s="2" t="s">
        <v>122</v>
      </c>
    </row>
    <row r="169" spans="1:10">
      <c r="A169" s="51" t="s">
        <v>347</v>
      </c>
      <c r="C169" s="2" t="s">
        <v>688</v>
      </c>
    </row>
    <row r="173" spans="1:10" ht="13.5">
      <c r="A173" s="2" t="s">
        <v>350</v>
      </c>
      <c r="C173" s="9" t="s">
        <v>492</v>
      </c>
      <c r="D173" s="47">
        <v>120</v>
      </c>
      <c r="E173" s="2" t="s">
        <v>32</v>
      </c>
      <c r="F173" s="2" t="s">
        <v>493</v>
      </c>
      <c r="I173" s="9">
        <v>0.89500000000000002</v>
      </c>
      <c r="J173" s="2" t="s">
        <v>28</v>
      </c>
    </row>
    <row r="174" spans="1:10" ht="13.5">
      <c r="C174" s="55" t="s">
        <v>532</v>
      </c>
      <c r="D174" s="9">
        <v>0.75</v>
      </c>
      <c r="F174" s="2" t="s">
        <v>494</v>
      </c>
      <c r="I174" s="9">
        <v>9</v>
      </c>
      <c r="J174" s="2" t="s">
        <v>28</v>
      </c>
    </row>
    <row r="175" spans="1:10" ht="14.25">
      <c r="C175" s="9" t="s">
        <v>495</v>
      </c>
      <c r="D175" s="52">
        <f>PI()*0.25*(I173-0.9743/I174)^2</f>
        <v>0.48613540431069813</v>
      </c>
      <c r="E175" s="2" t="s">
        <v>436</v>
      </c>
    </row>
    <row r="176" spans="1:10" ht="13.5">
      <c r="C176" s="9" t="s">
        <v>496</v>
      </c>
      <c r="D176" s="29">
        <f>D174*D175*D173</f>
        <v>43.75218638796283</v>
      </c>
      <c r="E176" s="2" t="s">
        <v>122</v>
      </c>
    </row>
    <row r="178" spans="1:14" ht="13.5">
      <c r="A178" s="2" t="s">
        <v>349</v>
      </c>
      <c r="D178" s="9" t="s">
        <v>497</v>
      </c>
      <c r="E178" s="29">
        <f>D176*2</f>
        <v>87.50437277592566</v>
      </c>
      <c r="F178" s="2" t="s">
        <v>122</v>
      </c>
    </row>
    <row r="179" spans="1:14" ht="13.5">
      <c r="A179" s="2" t="s">
        <v>498</v>
      </c>
      <c r="H179" s="9" t="s">
        <v>54</v>
      </c>
      <c r="I179" s="29">
        <f>E178/(0.85*E19*E47)</f>
        <v>1.9064133502380318</v>
      </c>
      <c r="J179" s="2" t="s">
        <v>28</v>
      </c>
    </row>
    <row r="180" spans="1:14">
      <c r="C180" s="2" t="s">
        <v>348</v>
      </c>
      <c r="F180" s="8">
        <f>7-0.5*I179</f>
        <v>6.0467933248809844</v>
      </c>
      <c r="G180" s="2" t="s">
        <v>28</v>
      </c>
    </row>
    <row r="181" spans="1:14" ht="13.5">
      <c r="A181" s="2" t="s">
        <v>499</v>
      </c>
      <c r="F181" s="8">
        <f>E178*F180/12</f>
        <v>44.093404766613723</v>
      </c>
      <c r="G181" s="2" t="s">
        <v>132</v>
      </c>
    </row>
    <row r="182" spans="1:14" ht="13.5">
      <c r="C182" s="2" t="s">
        <v>500</v>
      </c>
      <c r="E182" s="2" t="s">
        <v>501</v>
      </c>
      <c r="F182" s="8">
        <f>F181*12/E124</f>
        <v>27.757159721933885</v>
      </c>
      <c r="G182" s="2" t="s">
        <v>122</v>
      </c>
    </row>
    <row r="184" spans="1:14" ht="13.5">
      <c r="A184" s="2" t="s">
        <v>340</v>
      </c>
      <c r="E184" s="9" t="s">
        <v>533</v>
      </c>
      <c r="F184" s="3">
        <f>MIN(E168,G141,E137,E126,F182)</f>
        <v>27.757159721933885</v>
      </c>
      <c r="G184" s="150" t="s">
        <v>122</v>
      </c>
    </row>
    <row r="186" spans="1:14" ht="13.5">
      <c r="A186" s="2" t="s">
        <v>513</v>
      </c>
      <c r="N186" s="5"/>
    </row>
    <row r="187" spans="1:14" ht="13.5" customHeight="1">
      <c r="A187" s="156" t="s">
        <v>140</v>
      </c>
      <c r="B187" s="157"/>
      <c r="C187" s="157"/>
      <c r="D187" s="157"/>
      <c r="E187" s="157"/>
      <c r="F187" s="157"/>
      <c r="G187" s="157"/>
      <c r="H187" s="157"/>
      <c r="I187" s="157"/>
      <c r="J187" s="157"/>
      <c r="N187" s="5"/>
    </row>
    <row r="188" spans="1:14" ht="13.5" customHeight="1">
      <c r="A188" s="157"/>
      <c r="B188" s="157"/>
      <c r="C188" s="157"/>
      <c r="D188" s="157"/>
      <c r="E188" s="157"/>
      <c r="F188" s="157"/>
      <c r="G188" s="157"/>
      <c r="H188" s="157"/>
      <c r="I188" s="157"/>
      <c r="J188" s="157"/>
      <c r="N188" s="5"/>
    </row>
    <row r="189" spans="1:14" ht="13.5" customHeight="1">
      <c r="A189" s="157"/>
      <c r="B189" s="157"/>
      <c r="C189" s="157"/>
      <c r="D189" s="157"/>
      <c r="E189" s="157"/>
      <c r="F189" s="157"/>
      <c r="G189" s="157"/>
      <c r="H189" s="157"/>
      <c r="I189" s="157"/>
      <c r="J189" s="157"/>
      <c r="N189" s="5"/>
    </row>
    <row r="190" spans="1:14" ht="13.5" customHeight="1">
      <c r="A190" s="157"/>
      <c r="B190" s="157"/>
      <c r="C190" s="157"/>
      <c r="D190" s="157"/>
      <c r="E190" s="157"/>
      <c r="F190" s="157"/>
      <c r="G190" s="157"/>
      <c r="H190" s="157"/>
      <c r="I190" s="157"/>
      <c r="J190" s="157"/>
      <c r="N190" s="5"/>
    </row>
    <row r="191" spans="1:14">
      <c r="A191" s="51" t="s">
        <v>351</v>
      </c>
      <c r="E191" s="2" t="s">
        <v>320</v>
      </c>
      <c r="N191" s="5"/>
    </row>
    <row r="192" spans="1:14">
      <c r="A192" s="2" t="s">
        <v>133</v>
      </c>
      <c r="D192" s="9" t="s">
        <v>131</v>
      </c>
      <c r="E192" s="9">
        <v>3</v>
      </c>
      <c r="N192" s="5"/>
    </row>
    <row r="193" spans="1:14">
      <c r="D193" s="9"/>
      <c r="E193" s="9"/>
      <c r="N193" s="5"/>
    </row>
    <row r="194" spans="1:14" ht="13.5">
      <c r="A194" s="2" t="s">
        <v>134</v>
      </c>
      <c r="D194" s="9" t="s">
        <v>461</v>
      </c>
      <c r="E194" s="29">
        <f>E44</f>
        <v>93.333333333333329</v>
      </c>
      <c r="F194" s="2" t="s">
        <v>132</v>
      </c>
      <c r="N194" s="5"/>
    </row>
    <row r="195" spans="1:14" ht="13.5">
      <c r="A195" s="2" t="s">
        <v>65</v>
      </c>
      <c r="D195" s="9" t="s">
        <v>514</v>
      </c>
      <c r="E195" s="29">
        <f>E14</f>
        <v>5</v>
      </c>
      <c r="F195" s="2" t="s">
        <v>26</v>
      </c>
      <c r="N195" s="5"/>
    </row>
    <row r="196" spans="1:14">
      <c r="A196" s="2" t="s">
        <v>135</v>
      </c>
      <c r="D196" s="9" t="s">
        <v>136</v>
      </c>
      <c r="E196" s="29">
        <f>E25</f>
        <v>10</v>
      </c>
      <c r="F196" s="2" t="s">
        <v>26</v>
      </c>
      <c r="N196" s="5"/>
    </row>
    <row r="197" spans="1:14">
      <c r="J197" s="4" t="s">
        <v>137</v>
      </c>
      <c r="N197" s="5"/>
    </row>
    <row r="198" spans="1:14">
      <c r="E198" s="2" t="str">
        <f>"=(16 * "&amp;TEXT(E194,"0.00")&amp;" kip-ft + ("&amp;TEXT(E192,"0")&amp;" - 1) ("&amp;TEXT(E192,"0")&amp;" + 1) * "&amp;TEXT(F184,"0.00")&amp;"kip * "&amp;TEXT(E196,"0.00")&amp;"ft / (2 * "&amp;TEXT(E192,"0")&amp;" * "&amp;TEXT(E196,"0.00")&amp;" ft - "&amp;TEXT(E195,"0.00")&amp;" ft)"</f>
        <v>=(16 * 93.33 kip-ft + (3 - 1) (3 + 1) * 27.76kip * 10.00ft / (2 * 3 * 10.00 ft - 5.00 ft)</v>
      </c>
      <c r="J198" s="4"/>
      <c r="N198" s="5"/>
    </row>
    <row r="199" spans="1:14" ht="13.5">
      <c r="G199" s="2" t="s">
        <v>502</v>
      </c>
      <c r="H199" s="8">
        <f>(16*E194+(E192-1)*(E192+1)*E196*F184)/(2*E192*E196-E195)</f>
        <v>67.525565656146256</v>
      </c>
      <c r="I199" s="2" t="s">
        <v>122</v>
      </c>
      <c r="J199" s="4"/>
      <c r="N199" s="5"/>
    </row>
    <row r="200" spans="1:14">
      <c r="J200" s="4"/>
      <c r="N200" s="5"/>
    </row>
    <row r="201" spans="1:14">
      <c r="C201" s="2" t="str">
        <f>"=("&amp;TEXT(H199,"0.00")&amp;" kip +"&amp;TEXT(G118,"0.00")&amp;" kip) ="</f>
        <v>=(67.53 kip +259.97 kip) =</v>
      </c>
      <c r="G201" s="2">
        <f>H199+G118</f>
        <v>327.50036078594781</v>
      </c>
      <c r="H201" s="2" t="s">
        <v>122</v>
      </c>
      <c r="J201" s="4" t="s">
        <v>138</v>
      </c>
      <c r="N201" s="5"/>
    </row>
    <row r="202" spans="1:14">
      <c r="J202" s="4"/>
      <c r="N202" s="5"/>
    </row>
    <row r="203" spans="1:14">
      <c r="A203" s="156" t="s">
        <v>689</v>
      </c>
      <c r="B203" s="157"/>
      <c r="C203" s="157"/>
      <c r="D203" s="157"/>
      <c r="E203" s="157"/>
      <c r="F203" s="157"/>
      <c r="G203" s="157"/>
      <c r="H203" s="157"/>
      <c r="I203" s="157"/>
      <c r="J203" s="157"/>
      <c r="N203" s="5"/>
    </row>
    <row r="204" spans="1:14">
      <c r="A204" s="157"/>
      <c r="B204" s="157"/>
      <c r="C204" s="157"/>
      <c r="D204" s="157"/>
      <c r="E204" s="157"/>
      <c r="F204" s="157"/>
      <c r="G204" s="157"/>
      <c r="H204" s="157"/>
      <c r="I204" s="157"/>
      <c r="J204" s="157"/>
      <c r="N204" s="5"/>
    </row>
    <row r="205" spans="1:14" ht="15">
      <c r="A205" s="101"/>
      <c r="B205" s="101"/>
      <c r="C205" s="101"/>
      <c r="D205" s="101"/>
      <c r="E205" s="101"/>
      <c r="F205" s="101"/>
      <c r="G205" s="101"/>
      <c r="H205" s="101"/>
      <c r="I205" s="101"/>
      <c r="J205" s="101"/>
      <c r="N205" s="5"/>
    </row>
    <row r="206" spans="1:14" ht="13.5">
      <c r="A206" s="2" t="s">
        <v>353</v>
      </c>
      <c r="B206" s="2" t="s">
        <v>503</v>
      </c>
      <c r="C206" s="8">
        <f>MAX(0,E13-H199)</f>
        <v>12.474434343853744</v>
      </c>
      <c r="D206" s="2" t="s">
        <v>122</v>
      </c>
      <c r="E206" s="2" t="str">
        <f>"("&amp;TEXT(I206,"0.00")&amp;" kip - "&amp;TEXT(H199,"0.00")&amp;" kip )"</f>
        <v>(80.00 kip - 67.53 kip )</v>
      </c>
      <c r="I206" s="29">
        <f>MAX(0,E13)</f>
        <v>80</v>
      </c>
      <c r="J206" s="2" t="s">
        <v>122</v>
      </c>
      <c r="N206" s="5"/>
    </row>
    <row r="207" spans="1:14">
      <c r="J207" s="4" t="s">
        <v>139</v>
      </c>
      <c r="N207" s="5"/>
    </row>
    <row r="208" spans="1:14">
      <c r="D208" s="2" t="str">
        <f>"=("&amp;TEXT(H199,"0.00")&amp;" kip * "&amp;TEXT(E26,"0.00")&amp;" in. +"&amp;TEXT(C206,"0.00")&amp;" kip * "&amp;TEXT(E17,"0.00")&amp;" in.) / "&amp;TEXT(I206,"0.00")&amp;" kip"</f>
        <v>=(67.53 kip * 32.50 in. +12.47 kip * 13.44 in.) / 80.00 kip</v>
      </c>
      <c r="N208" s="5"/>
    </row>
    <row r="209" spans="1:14">
      <c r="E209" s="9" t="s">
        <v>147</v>
      </c>
      <c r="F209" s="29">
        <f>(H199*E26+C206*E17)/I206</f>
        <v>29.527576191503602</v>
      </c>
      <c r="G209" s="2" t="s">
        <v>28</v>
      </c>
      <c r="N209" s="5"/>
    </row>
    <row r="211" spans="1:14" ht="13.5">
      <c r="D211" s="9" t="s">
        <v>515</v>
      </c>
      <c r="E211" s="29">
        <f>C206/(I113+2*E17/12)</f>
        <v>1.2971931822181062</v>
      </c>
      <c r="F211" s="2" t="s">
        <v>43</v>
      </c>
    </row>
    <row r="212" spans="1:14">
      <c r="D212" s="9"/>
      <c r="E212" s="29"/>
    </row>
    <row r="213" spans="1:14" ht="13.5">
      <c r="D213" s="9" t="s">
        <v>516</v>
      </c>
      <c r="E213" s="29">
        <f>E211*E17/12</f>
        <v>1.4525861155046502</v>
      </c>
      <c r="F213" s="2" t="s">
        <v>146</v>
      </c>
    </row>
    <row r="215" spans="1:14">
      <c r="A215" s="51" t="s">
        <v>352</v>
      </c>
      <c r="E215" s="2" t="s">
        <v>321</v>
      </c>
    </row>
    <row r="216" spans="1:14">
      <c r="A216" s="2" t="s">
        <v>133</v>
      </c>
      <c r="D216" s="9" t="s">
        <v>131</v>
      </c>
      <c r="E216" s="9">
        <v>2</v>
      </c>
    </row>
    <row r="217" spans="1:14">
      <c r="D217" s="9"/>
      <c r="E217" s="9"/>
    </row>
    <row r="218" spans="1:14" ht="13.5">
      <c r="A218" s="2" t="s">
        <v>65</v>
      </c>
      <c r="D218" s="9" t="s">
        <v>514</v>
      </c>
      <c r="E218" s="29">
        <f>$E$14</f>
        <v>5</v>
      </c>
      <c r="F218" s="2" t="s">
        <v>26</v>
      </c>
    </row>
    <row r="219" spans="1:14">
      <c r="A219" s="2" t="s">
        <v>135</v>
      </c>
      <c r="D219" s="9" t="s">
        <v>136</v>
      </c>
      <c r="E219" s="29">
        <f>$E$25</f>
        <v>10</v>
      </c>
      <c r="F219" s="2" t="s">
        <v>26</v>
      </c>
    </row>
    <row r="221" spans="1:14">
      <c r="J221" s="4" t="s">
        <v>142</v>
      </c>
    </row>
    <row r="222" spans="1:14">
      <c r="D222" s="2" t="str">
        <f>"=(16 * "&amp;TEXT(E194,"0.00")&amp;" kip-ft +  "&amp;TEXT(E216,"0")&amp;"^2 *  "&amp;TEXT(F184,"0.00")&amp;" * "&amp;TEXT(E219,"0.00")&amp;"/ (2 * "&amp;TEXT(E216,"0")&amp;" * "&amp;TEXT(E219,"0.00")&amp;" ft - "&amp;TEXT(E218,"0.00")&amp;" ft)"</f>
        <v>=(16 * 93.33 kip-ft +  2^2 *  27.76 * 10.00/ (2 * 2 * 10.00 ft - 5.00 ft)</v>
      </c>
      <c r="J222" s="4"/>
    </row>
    <row r="223" spans="1:14">
      <c r="J223" s="4"/>
    </row>
    <row r="224" spans="1:14" ht="13.5">
      <c r="G224" s="2" t="s">
        <v>504</v>
      </c>
      <c r="H224" s="29">
        <f>(16*E194+E216^2*F184*E219)/(2*E216*E219-E218)</f>
        <v>74.389134920305381</v>
      </c>
      <c r="I224" s="2" t="s">
        <v>122</v>
      </c>
      <c r="J224" s="4"/>
    </row>
    <row r="225" spans="2:10">
      <c r="H225" s="29"/>
      <c r="J225" s="4"/>
    </row>
    <row r="226" spans="2:10">
      <c r="H226" s="29"/>
      <c r="J226" s="4"/>
    </row>
    <row r="227" spans="2:10">
      <c r="D227" s="2" t="str">
        <f>"=("&amp;TEXT(G118,"0.00")&amp;" kip * "&amp;TEXT(E17,"0.00")&amp;" in. -"&amp;TEXT(F184,"0.00")&amp;" kip * "&amp;TEXT(E26,"0.00")&amp;" in.) / "&amp;TEXT(E17,"0.00")&amp;" in"</f>
        <v>=(259.97 kip * 13.44 in. -27.76 kip * 32.50 in.) / 13.44 in</v>
      </c>
      <c r="H227" s="29"/>
      <c r="J227" s="4" t="s">
        <v>144</v>
      </c>
    </row>
    <row r="228" spans="2:10" ht="13.5">
      <c r="G228" s="2" t="s">
        <v>505</v>
      </c>
      <c r="H228" s="29">
        <f>(G118*E17-F184*E26)/E17</f>
        <v>192.84119952326375</v>
      </c>
      <c r="I228" s="2" t="s">
        <v>122</v>
      </c>
      <c r="J228" s="4"/>
    </row>
    <row r="229" spans="2:10">
      <c r="H229" s="29"/>
      <c r="J229" s="4"/>
    </row>
    <row r="230" spans="2:10">
      <c r="D230" s="2" t="str">
        <f>"= "&amp;TEXT(F184,"0.00")&amp;" kip +  "&amp;TEXT(H224,"0.00")&amp;" kip +  "&amp;TEXT(H228,"0.00")&amp;" kip"</f>
        <v>= 27.76 kip +  74.39 kip +  192.84 kip</v>
      </c>
      <c r="H230" s="29">
        <f>F184+H224+H228</f>
        <v>294.98749416550299</v>
      </c>
      <c r="I230" s="2" t="s">
        <v>122</v>
      </c>
      <c r="J230" s="151" t="s">
        <v>143</v>
      </c>
    </row>
    <row r="231" spans="2:10">
      <c r="H231" s="29"/>
      <c r="J231" s="4"/>
    </row>
    <row r="232" spans="2:10" ht="13.5">
      <c r="B232" s="2">
        <f>I206</f>
        <v>80</v>
      </c>
      <c r="C232" s="2" t="s">
        <v>122</v>
      </c>
      <c r="D232" s="2" t="s">
        <v>506</v>
      </c>
      <c r="G232" s="29">
        <f>B232-F184</f>
        <v>52.242840278066112</v>
      </c>
      <c r="H232" s="2" t="s">
        <v>122</v>
      </c>
      <c r="I232" s="2" t="str">
        <f>"("&amp;TEXT(B232,"0.00")&amp;" kip - "&amp;TEXT(F184,"0.00")&amp;" kip )"</f>
        <v>(80.00 kip - 27.76 kip )</v>
      </c>
      <c r="J232" s="4"/>
    </row>
    <row r="233" spans="2:10">
      <c r="J233" s="4" t="s">
        <v>145</v>
      </c>
    </row>
    <row r="234" spans="2:10">
      <c r="D234" s="2" t="str">
        <f>"=("&amp;TEXT(F184,"0.00")&amp;" kip * "&amp;TEXT(E26,"0.00")&amp;" in. +"&amp;TEXT(G232,"0.00")&amp;" kip * "&amp;TEXT(E26,"0.00")&amp;" in. + "&amp;TEXT(0,"0.00")&amp;" kip * "&amp;TEXT(E17,"0.00")&amp;" in. ) / "&amp;TEXT(B232,"0.00")&amp;" kip"</f>
        <v>=(27.76 kip * 32.50 in. +52.24 kip * 32.50 in. + 0.00 kip * 13.44 in. ) / 80.00 kip</v>
      </c>
    </row>
    <row r="235" spans="2:10">
      <c r="G235" s="2" t="s">
        <v>147</v>
      </c>
      <c r="H235" s="9">
        <f>(F184+G232)*E26/B232</f>
        <v>32.5</v>
      </c>
      <c r="I235" s="2" t="s">
        <v>28</v>
      </c>
    </row>
    <row r="237" spans="2:10" ht="16.5" customHeight="1">
      <c r="D237" s="9" t="s">
        <v>517</v>
      </c>
      <c r="E237" s="29">
        <f>F184*12/(E47+7+2*E17)</f>
        <v>7.2607284286257574</v>
      </c>
      <c r="F237" s="2" t="s">
        <v>43</v>
      </c>
    </row>
    <row r="238" spans="2:10">
      <c r="D238" s="9"/>
      <c r="E238" s="29"/>
    </row>
    <row r="239" spans="2:10" ht="13.5">
      <c r="D239" s="9" t="s">
        <v>518</v>
      </c>
      <c r="E239" s="29">
        <f>E237*H235/12</f>
        <v>19.664472827528094</v>
      </c>
      <c r="F239" s="2" t="s">
        <v>146</v>
      </c>
    </row>
    <row r="241" spans="1:9" ht="13.5">
      <c r="A241" s="2" t="s">
        <v>519</v>
      </c>
      <c r="E241" s="8">
        <f>MAX(E239,E213)</f>
        <v>19.664472827528094</v>
      </c>
      <c r="F241" s="2" t="s">
        <v>146</v>
      </c>
      <c r="G241" s="9" t="s">
        <v>354</v>
      </c>
      <c r="H241" s="8">
        <f>MAX(E237,E211)</f>
        <v>7.2607284286257574</v>
      </c>
      <c r="I241" s="2" t="s">
        <v>43</v>
      </c>
    </row>
    <row r="242" spans="1:9">
      <c r="E242" s="8"/>
      <c r="G242" s="9"/>
      <c r="H242" s="8"/>
    </row>
    <row r="243" spans="1:9" ht="12.75">
      <c r="A243" s="1" t="s">
        <v>760</v>
      </c>
      <c r="G243" s="9"/>
      <c r="H243" s="8"/>
    </row>
    <row r="244" spans="1:9">
      <c r="A244" s="2" t="s">
        <v>761</v>
      </c>
      <c r="G244" s="9"/>
      <c r="H244" s="8"/>
    </row>
    <row r="245" spans="1:9" ht="12.75" thickBot="1">
      <c r="A245" s="2" t="s">
        <v>766</v>
      </c>
      <c r="G245" s="9"/>
      <c r="H245" s="8"/>
    </row>
    <row r="246" spans="1:9" ht="13.5">
      <c r="B246" s="56" t="s">
        <v>126</v>
      </c>
      <c r="C246" s="37"/>
      <c r="D246" s="37"/>
      <c r="E246" s="37"/>
      <c r="F246" s="37"/>
      <c r="G246" s="57" t="s">
        <v>507</v>
      </c>
      <c r="H246" s="58">
        <f>+H241</f>
        <v>7.2607284286257574</v>
      </c>
      <c r="I246" s="38" t="s">
        <v>125</v>
      </c>
    </row>
    <row r="247" spans="1:9" ht="14.25" thickBot="1">
      <c r="B247" s="42" t="s">
        <v>127</v>
      </c>
      <c r="C247" s="43"/>
      <c r="D247" s="43"/>
      <c r="E247" s="43"/>
      <c r="F247" s="43"/>
      <c r="G247" s="59" t="s">
        <v>508</v>
      </c>
      <c r="H247" s="60">
        <f>E241</f>
        <v>19.664472827528094</v>
      </c>
      <c r="I247" s="61" t="s">
        <v>119</v>
      </c>
    </row>
  </sheetData>
  <mergeCells count="9">
    <mergeCell ref="A93:J94"/>
    <mergeCell ref="A187:J190"/>
    <mergeCell ref="A203:J204"/>
    <mergeCell ref="P2:P3"/>
    <mergeCell ref="A3:J5"/>
    <mergeCell ref="D24:F24"/>
    <mergeCell ref="D38:F38"/>
    <mergeCell ref="D39:F39"/>
    <mergeCell ref="A79:J80"/>
  </mergeCells>
  <conditionalFormatting sqref="A23:A31 D31:F31 W93:W107 N94:N107 M98:M107">
    <cfRule type="cellIs" dxfId="503" priority="206" operator="equal">
      <formula>"fails"</formula>
    </cfRule>
  </conditionalFormatting>
  <conditionalFormatting sqref="A23:A31 D27:I31">
    <cfRule type="containsText" dxfId="502" priority="204" operator="containsText" text="figure">
      <formula>NOT(ISERROR(SEARCH("figure",A23)))</formula>
    </cfRule>
    <cfRule type="cellIs" dxfId="501" priority="207" operator="equal">
      <formula>"ok"</formula>
    </cfRule>
  </conditionalFormatting>
  <conditionalFormatting sqref="A35">
    <cfRule type="containsText" dxfId="500" priority="257" operator="containsText" text="figure">
      <formula>NOT(ISERROR(SEARCH("figure",A35)))</formula>
    </cfRule>
    <cfRule type="cellIs" dxfId="499" priority="258" operator="equal">
      <formula>"fails"</formula>
    </cfRule>
    <cfRule type="cellIs" dxfId="498" priority="259" operator="equal">
      <formula>"ok"</formula>
    </cfRule>
  </conditionalFormatting>
  <conditionalFormatting sqref="A109:A111">
    <cfRule type="containsText" dxfId="497" priority="264" operator="containsText" text="figure">
      <formula>NOT(ISERROR(SEARCH("figure",A109)))</formula>
    </cfRule>
    <cfRule type="cellIs" dxfId="496" priority="266" operator="equal">
      <formula>"fails"</formula>
    </cfRule>
    <cfRule type="cellIs" dxfId="495" priority="267" operator="equal">
      <formula>"ok"</formula>
    </cfRule>
  </conditionalFormatting>
  <conditionalFormatting sqref="A116 A199:H199">
    <cfRule type="cellIs" dxfId="494" priority="316" operator="equal">
      <formula>"fails"</formula>
    </cfRule>
  </conditionalFormatting>
  <conditionalFormatting sqref="A116 W93:W107 N94:N107 M98:M107">
    <cfRule type="cellIs" dxfId="493" priority="317" operator="equal">
      <formula>"ok"</formula>
    </cfRule>
  </conditionalFormatting>
  <conditionalFormatting sqref="A120">
    <cfRule type="containsText" dxfId="492" priority="244" operator="containsText" text="figure">
      <formula>NOT(ISERROR(SEARCH("figure",A120)))</formula>
    </cfRule>
    <cfRule type="cellIs" dxfId="491" priority="246" operator="equal">
      <formula>"fails"</formula>
    </cfRule>
    <cfRule type="cellIs" dxfId="490" priority="247" operator="equal">
      <formula>"ok"</formula>
    </cfRule>
  </conditionalFormatting>
  <conditionalFormatting sqref="A143">
    <cfRule type="containsText" dxfId="489" priority="187" operator="containsText" text="figure">
      <formula>NOT(ISERROR(SEARCH("figure",A143)))</formula>
    </cfRule>
    <cfRule type="cellIs" dxfId="488" priority="189" operator="equal">
      <formula>"fails"</formula>
    </cfRule>
    <cfRule type="cellIs" dxfId="487" priority="190" operator="equal">
      <formula>"ok"</formula>
    </cfRule>
  </conditionalFormatting>
  <conditionalFormatting sqref="A151:A155">
    <cfRule type="containsText" dxfId="486" priority="167" operator="containsText" text="figure">
      <formula>NOT(ISERROR(SEARCH("figure",A151)))</formula>
    </cfRule>
    <cfRule type="cellIs" dxfId="485" priority="169" operator="equal">
      <formula>"fails"</formula>
    </cfRule>
    <cfRule type="cellIs" dxfId="484" priority="170" operator="equal">
      <formula>"ok"</formula>
    </cfRule>
  </conditionalFormatting>
  <conditionalFormatting sqref="A169">
    <cfRule type="containsText" dxfId="483" priority="151" operator="containsText" text="figure">
      <formula>NOT(ISERROR(SEARCH("figure",A169)))</formula>
    </cfRule>
    <cfRule type="cellIs" dxfId="482" priority="153" operator="equal">
      <formula>"fails"</formula>
    </cfRule>
    <cfRule type="cellIs" dxfId="481" priority="154" operator="equal">
      <formula>"ok"</formula>
    </cfRule>
  </conditionalFormatting>
  <conditionalFormatting sqref="A174:A175">
    <cfRule type="containsText" dxfId="480" priority="143" operator="containsText" text="figure">
      <formula>NOT(ISERROR(SEARCH("figure",A174)))</formula>
    </cfRule>
    <cfRule type="cellIs" dxfId="479" priority="145" operator="equal">
      <formula>"fails"</formula>
    </cfRule>
    <cfRule type="cellIs" dxfId="478" priority="146" operator="equal">
      <formula>"ok"</formula>
    </cfRule>
  </conditionalFormatting>
  <conditionalFormatting sqref="A47:B50 D47:F50">
    <cfRule type="containsText" dxfId="477" priority="301" operator="containsText" text="figure">
      <formula>NOT(ISERROR(SEARCH("figure",A47)))</formula>
    </cfRule>
    <cfRule type="cellIs" dxfId="476" priority="302" operator="equal">
      <formula>"fails"</formula>
    </cfRule>
    <cfRule type="cellIs" dxfId="475" priority="303" operator="equal">
      <formula>"ok"</formula>
    </cfRule>
  </conditionalFormatting>
  <conditionalFormatting sqref="A37:C41">
    <cfRule type="cellIs" dxfId="474" priority="319" operator="equal">
      <formula>"fails"</formula>
    </cfRule>
  </conditionalFormatting>
  <conditionalFormatting sqref="A46:C46">
    <cfRule type="containsText" dxfId="473" priority="269" operator="containsText" text="figure">
      <formula>NOT(ISERROR(SEARCH("figure",A46)))</formula>
    </cfRule>
    <cfRule type="cellIs" dxfId="472" priority="270" operator="equal">
      <formula>"fails"</formula>
    </cfRule>
    <cfRule type="cellIs" dxfId="471" priority="271" operator="equal">
      <formula>"ok"</formula>
    </cfRule>
  </conditionalFormatting>
  <conditionalFormatting sqref="A38:D41">
    <cfRule type="cellIs" dxfId="470" priority="288" operator="equal">
      <formula>"ok"</formula>
    </cfRule>
  </conditionalFormatting>
  <conditionalFormatting sqref="A88:D89">
    <cfRule type="cellIs" dxfId="469" priority="314" operator="equal">
      <formula>"ok"</formula>
    </cfRule>
  </conditionalFormatting>
  <conditionalFormatting sqref="A227:D227">
    <cfRule type="cellIs" dxfId="468" priority="256" operator="equal">
      <formula>"ok"</formula>
    </cfRule>
  </conditionalFormatting>
  <conditionalFormatting sqref="A89:E90">
    <cfRule type="cellIs" dxfId="467" priority="310" operator="equal">
      <formula>"fails"</formula>
    </cfRule>
  </conditionalFormatting>
  <conditionalFormatting sqref="A46:F77 L93:W111">
    <cfRule type="containsText" dxfId="466" priority="268" operator="containsText" text="figure">
      <formula>NOT(ISERROR(SEARCH("figure",A46)))</formula>
    </cfRule>
  </conditionalFormatting>
  <conditionalFormatting sqref="A199:H199">
    <cfRule type="cellIs" dxfId="465" priority="250" operator="equal">
      <formula>"ok"</formula>
    </cfRule>
  </conditionalFormatting>
  <conditionalFormatting sqref="A234:J234">
    <cfRule type="cellIs" dxfId="464" priority="253" operator="equal">
      <formula>"ok"</formula>
    </cfRule>
  </conditionalFormatting>
  <conditionalFormatting sqref="A78:K78">
    <cfRule type="containsText" dxfId="463" priority="295" operator="containsText" text="figure">
      <formula>NOT(ISERROR(SEARCH("figure",A78)))</formula>
    </cfRule>
    <cfRule type="cellIs" dxfId="462" priority="296" operator="equal">
      <formula>"fails"</formula>
    </cfRule>
    <cfRule type="cellIs" dxfId="461" priority="297" operator="equal">
      <formula>"ok"</formula>
    </cfRule>
  </conditionalFormatting>
  <conditionalFormatting sqref="A1:L2">
    <cfRule type="cellIs" dxfId="460" priority="10" operator="equal">
      <formula>"ok"</formula>
    </cfRule>
    <cfRule type="containsText" dxfId="459" priority="11" operator="containsText" text="figure">
      <formula>NOT(ISERROR(SEARCH("figure",A1)))</formula>
    </cfRule>
    <cfRule type="cellIs" dxfId="458" priority="13" operator="equal">
      <formula>"fails"</formula>
    </cfRule>
  </conditionalFormatting>
  <conditionalFormatting sqref="A235:M244">
    <cfRule type="cellIs" dxfId="457" priority="2" operator="equal">
      <formula>"fails"</formula>
    </cfRule>
    <cfRule type="cellIs" dxfId="456" priority="3" operator="equal">
      <formula>"ok"</formula>
    </cfRule>
  </conditionalFormatting>
  <conditionalFormatting sqref="A235:W244">
    <cfRule type="containsText" dxfId="455" priority="1" operator="containsText" text="figure">
      <formula>NOT(ISERROR(SEARCH("figure",A235)))</formula>
    </cfRule>
  </conditionalFormatting>
  <conditionalFormatting sqref="B206">
    <cfRule type="containsText" dxfId="454" priority="71" operator="containsText" text="figure">
      <formula>NOT(ISERROR(SEARCH("figure",B206)))</formula>
    </cfRule>
    <cfRule type="cellIs" dxfId="453" priority="72" operator="equal">
      <formula>"fails"</formula>
    </cfRule>
    <cfRule type="containsText" dxfId="452" priority="74" operator="containsText" text="figure">
      <formula>NOT(ISERROR(SEARCH("figure",B206)))</formula>
    </cfRule>
    <cfRule type="cellIs" dxfId="451" priority="75" operator="equal">
      <formula>"fails"</formula>
    </cfRule>
  </conditionalFormatting>
  <conditionalFormatting sqref="B247">
    <cfRule type="containsText" dxfId="450" priority="16" operator="containsText" text="figure">
      <formula>NOT(ISERROR(SEARCH("figure",B247)))</formula>
    </cfRule>
    <cfRule type="cellIs" dxfId="449" priority="17" operator="equal">
      <formula>"fails"</formula>
    </cfRule>
    <cfRule type="cellIs" dxfId="448" priority="18" operator="equal">
      <formula>"ok"</formula>
    </cfRule>
  </conditionalFormatting>
  <conditionalFormatting sqref="B206:D206">
    <cfRule type="containsText" dxfId="447" priority="77" operator="containsText" text="figure">
      <formula>NOT(ISERROR(SEARCH("figure",B206)))</formula>
    </cfRule>
    <cfRule type="cellIs" dxfId="446" priority="79" operator="equal">
      <formula>"fails"</formula>
    </cfRule>
  </conditionalFormatting>
  <conditionalFormatting sqref="B206:E206">
    <cfRule type="cellIs" dxfId="445" priority="54" operator="equal">
      <formula>"ok"</formula>
    </cfRule>
  </conditionalFormatting>
  <conditionalFormatting sqref="B246:I247 J247">
    <cfRule type="containsText" dxfId="444" priority="19" operator="containsText" text="figure">
      <formula>NOT(ISERROR(SEARCH("figure",B246)))</formula>
    </cfRule>
    <cfRule type="cellIs" dxfId="443" priority="20" operator="equal">
      <formula>"fails"</formula>
    </cfRule>
  </conditionalFormatting>
  <conditionalFormatting sqref="B246:I247 J247:K247">
    <cfRule type="cellIs" dxfId="442" priority="21" operator="equal">
      <formula>"ok"</formula>
    </cfRule>
  </conditionalFormatting>
  <conditionalFormatting sqref="C157">
    <cfRule type="containsText" dxfId="441" priority="163" operator="containsText" text="figure">
      <formula>NOT(ISERROR(SEARCH("figure",C157)))</formula>
    </cfRule>
    <cfRule type="cellIs" dxfId="440" priority="165" operator="equal">
      <formula>"fails"</formula>
    </cfRule>
    <cfRule type="cellIs" dxfId="439" priority="166" operator="equal">
      <formula>"ok"</formula>
    </cfRule>
  </conditionalFormatting>
  <conditionalFormatting sqref="D13:D16 F16:G16">
    <cfRule type="cellIs" dxfId="438" priority="300" operator="equal">
      <formula>"ok"</formula>
    </cfRule>
  </conditionalFormatting>
  <conditionalFormatting sqref="D16 F16:G16">
    <cfRule type="cellIs" dxfId="437" priority="299" operator="equal">
      <formula>"fails"</formula>
    </cfRule>
  </conditionalFormatting>
  <conditionalFormatting sqref="D38:D41">
    <cfRule type="containsText" dxfId="436" priority="285" operator="containsText" text="figure">
      <formula>NOT(ISERROR(SEARCH("figure",D38)))</formula>
    </cfRule>
    <cfRule type="cellIs" dxfId="435" priority="287" operator="equal">
      <formula>"fails"</formula>
    </cfRule>
  </conditionalFormatting>
  <conditionalFormatting sqref="D129:D130">
    <cfRule type="containsText" dxfId="434" priority="232" operator="containsText" text="figure">
      <formula>NOT(ISERROR(SEARCH("figure",D129)))</formula>
    </cfRule>
    <cfRule type="cellIs" dxfId="433" priority="234" operator="equal">
      <formula>"fails"</formula>
    </cfRule>
    <cfRule type="cellIs" dxfId="432" priority="235" operator="equal">
      <formula>"ok"</formula>
    </cfRule>
  </conditionalFormatting>
  <conditionalFormatting sqref="D134:D136">
    <cfRule type="containsText" dxfId="431" priority="212" operator="containsText" text="figure">
      <formula>NOT(ISERROR(SEARCH("figure",D134)))</formula>
    </cfRule>
    <cfRule type="cellIs" dxfId="430" priority="214" operator="equal">
      <formula>"fails"</formula>
    </cfRule>
    <cfRule type="cellIs" dxfId="429" priority="215" operator="equal">
      <formula>"ok"</formula>
    </cfRule>
  </conditionalFormatting>
  <conditionalFormatting sqref="D168">
    <cfRule type="containsText" dxfId="428" priority="87" operator="containsText" text="figure">
      <formula>NOT(ISERROR(SEARCH("figure",D168)))</formula>
    </cfRule>
    <cfRule type="cellIs" dxfId="427" priority="89" operator="equal">
      <formula>"fails"</formula>
    </cfRule>
    <cfRule type="cellIs" dxfId="426" priority="90" operator="equal">
      <formula>"ok"</formula>
    </cfRule>
  </conditionalFormatting>
  <conditionalFormatting sqref="D227">
    <cfRule type="containsText" dxfId="425" priority="254" operator="containsText" text="figure">
      <formula>NOT(ISERROR(SEARCH("figure",D227)))</formula>
    </cfRule>
    <cfRule type="cellIs" dxfId="424" priority="255" operator="equal">
      <formula>"fails"</formula>
    </cfRule>
  </conditionalFormatting>
  <conditionalFormatting sqref="D234">
    <cfRule type="containsText" dxfId="423" priority="251" operator="containsText" text="figure">
      <formula>NOT(ISERROR(SEARCH("figure",D234)))</formula>
    </cfRule>
    <cfRule type="cellIs" dxfId="422" priority="252" operator="equal">
      <formula>"fails"</formula>
    </cfRule>
  </conditionalFormatting>
  <conditionalFormatting sqref="D10:F12 E13:F15">
    <cfRule type="cellIs" dxfId="421" priority="308" operator="equal">
      <formula>"ok"</formula>
    </cfRule>
  </conditionalFormatting>
  <conditionalFormatting sqref="D10:F15">
    <cfRule type="containsText" dxfId="420" priority="306" operator="containsText" text="figure">
      <formula>NOT(ISERROR(SEARCH("figure",D10)))</formula>
    </cfRule>
    <cfRule type="cellIs" dxfId="419" priority="307" operator="equal">
      <formula>"fails"</formula>
    </cfRule>
  </conditionalFormatting>
  <conditionalFormatting sqref="D32:F32">
    <cfRule type="cellIs" dxfId="418" priority="194" operator="equal">
      <formula>"fails"</formula>
    </cfRule>
  </conditionalFormatting>
  <conditionalFormatting sqref="D126:F126">
    <cfRule type="containsText" dxfId="417" priority="155" operator="containsText" text="figure">
      <formula>NOT(ISERROR(SEARCH("figure",D126)))</formula>
    </cfRule>
    <cfRule type="cellIs" dxfId="416" priority="157" operator="equal">
      <formula>"fails"</formula>
    </cfRule>
    <cfRule type="cellIs" dxfId="415" priority="158" operator="equal">
      <formula>"ok"</formula>
    </cfRule>
  </conditionalFormatting>
  <conditionalFormatting sqref="D137:F137">
    <cfRule type="containsText" dxfId="414" priority="208" operator="containsText" text="figure">
      <formula>NOT(ISERROR(SEARCH("figure",D137)))</formula>
    </cfRule>
    <cfRule type="cellIs" dxfId="413" priority="210" operator="equal">
      <formula>"fails"</formula>
    </cfRule>
    <cfRule type="cellIs" dxfId="412" priority="211" operator="equal">
      <formula>"ok"</formula>
    </cfRule>
  </conditionalFormatting>
  <conditionalFormatting sqref="D32:H32">
    <cfRule type="containsText" dxfId="411" priority="192" operator="containsText" text="figure">
      <formula>NOT(ISERROR(SEARCH("figure",D32)))</formula>
    </cfRule>
    <cfRule type="cellIs" dxfId="410" priority="195" operator="equal">
      <formula>"ok"</formula>
    </cfRule>
  </conditionalFormatting>
  <conditionalFormatting sqref="D9:I9 J9:J14 A9:A16 J15:K15 M19:R19 W19 A19:L21 M20:W21 D25:G26 K32:K33 G38:I38 K38:M38 W38:W78 G39:H42 J39:K42 M39:M79 D42:F42 A50:F77 Q79 L79:L81 R79:W92 M80:Q83 Q84 M85:Q92 E89:J89 A91:H92 M186:O209 Q186:W244 T1:W17 Q2:S2 A3 L3:L4 Q3:R14 S3:S15 A7:J8 K10:K11 L11:L12 M15:M18 Q16:S17 D17:K18 Q18:W18 A22:W22 D23:G23 M23:W33 D24 D27:I30 G31:I31 G32:H32 A33:G33 J33 G34:I34 C34:F35 K34:W35 G36:W36 G37 I37:W37 E40:F41 A43:F44 G43:K50 G51:J51 G52:K77 A79 A82 E82:F83 G82:G85 I82:J85 A84:C84 A85:F86 G86:J86 A87:J87 A88:D88 G90:H90 I91:J91 I92:K92 A93 D95 B95:B96 F95:F96 I95:J96 D96:E96 D109:D110 I109:J110 J112 A112:G113 L112:L115 M112:W185 I113:J113 A114:I114 D116:L116 B118:J118 A123:F123 C124:F124 A124:A125 G140:J140 A140:A141 B141 G142:J144 G145:K145 I146:K146 G148:K150 I151:J151 D154:E155 E164 K174:K175 F184:G185 A186:K186 A187 A191:K196 A197:J197 A198:I198 J199 A200:J200 A201:C202 F201:H202 J201:J202 A207:J207 A208:D208 F208:K208 A209:G209 J209:K209 A210:M216 G217:M217 A218:M220 A221:J221 L221:M234 A222:D223 F222:J223 A224:J226 A227:D227 F227:J227 A228:J230 A231:F232 J231:J233 A233:I233 A234:J234 K247 M93:M95 L108:W111">
    <cfRule type="cellIs" dxfId="409" priority="322" operator="equal">
      <formula>"fails"</formula>
    </cfRule>
  </conditionalFormatting>
  <conditionalFormatting sqref="D41:K41 A33:F35 A227:D227 A234:J234 A199:H199 I151:J151 F201:H202 T1:W17 Q2:S2 A3 L3:L12 Q3:R14 S3:S15 A7:J9 H10 A10:F11 K10:K11 H11:I11 A12:J14 A15:K16 M15:M18 Q16:S17 D17:K18 Q18:W18 A19:W22 C23:I23 M23:W33 C24:D24 H24:W24 D25:W30 G31:W32 A33:G33 I33:W33 C34:I35 K34:W35 G36:W36 A37:G37 I37:W37 A37:C41 G38:W40 E40:F41 L41:W81 A42:F44 G42:K50 G51:J51 G52:K77 A79 A82 E82:G83 G82:G85 I82:J85 M82:W92 A84:C84 A85:F86 G86:J86 A87:J87 A88:D89 A89:J89 A90:E90 G90:H90 A91:J91 A92:K92 A93 D95 B95:B96 F95:F96 I95:J96 D96:E96 D109:D110 I109:J110 J112 A112:G113 L112:L115 M112:W209 I113:J113 A114:I114 A116 D116:L116 B118:J118 A123:F123 C124:F124 A124:A125 G140:J140 A140:A141 B141 G142:J144 G145:K145 I146:K146 G148:K150 D154:E155 E164 K174:K175 F184:G185 A186:K186 A187 A191:K196 A197:J197 A198:I198 J199 A200:J200 A201:C202 J201:J202 A207:J207 A208:D208 F208:K208 A209:G209 J209:K209 A210:W216 G217:W217 A218:W220 A221:J221 L221:W234 A222:D223 F222:J223 A224:J226 F227:J227 A228:J230 A231:F232 J231:J233 A233:I233 M245:W246 K245:K247 L245:L248 N248:R248 T248:W248">
    <cfRule type="containsText" dxfId="408" priority="298" operator="containsText" text="figure">
      <formula>NOT(ISERROR(SEARCH("figure",A1)))</formula>
    </cfRule>
  </conditionalFormatting>
  <conditionalFormatting sqref="E146:E147">
    <cfRule type="cellIs" dxfId="407" priority="178" operator="equal">
      <formula>"ok"</formula>
    </cfRule>
  </conditionalFormatting>
  <conditionalFormatting sqref="E147">
    <cfRule type="containsText" dxfId="406" priority="175" operator="containsText" text="figure">
      <formula>NOT(ISERROR(SEARCH("figure",E147)))</formula>
    </cfRule>
    <cfRule type="cellIs" dxfId="405" priority="177" operator="equal">
      <formula>"fails"</formula>
    </cfRule>
  </conditionalFormatting>
  <conditionalFormatting sqref="E175">
    <cfRule type="containsText" dxfId="404" priority="95" operator="containsText" text="figure">
      <formula>NOT(ISERROR(SEARCH("figure",E175)))</formula>
    </cfRule>
    <cfRule type="cellIs" dxfId="403" priority="97" operator="equal">
      <formula>"fails"</formula>
    </cfRule>
    <cfRule type="cellIs" dxfId="402" priority="98" operator="equal">
      <formula>"ok"</formula>
    </cfRule>
  </conditionalFormatting>
  <conditionalFormatting sqref="E206">
    <cfRule type="containsText" dxfId="401" priority="51" operator="containsText" text="figure">
      <formula>NOT(ISERROR(SEARCH("figure",E206)))</formula>
    </cfRule>
    <cfRule type="cellIs" dxfId="400" priority="53" operator="equal">
      <formula>"fails"</formula>
    </cfRule>
  </conditionalFormatting>
  <conditionalFormatting sqref="E146:F146">
    <cfRule type="containsText" dxfId="399" priority="179" operator="containsText" text="figure">
      <formula>NOT(ISERROR(SEARCH("figure",E146)))</formula>
    </cfRule>
    <cfRule type="cellIs" dxfId="398" priority="181" operator="equal">
      <formula>"fails"</formula>
    </cfRule>
  </conditionalFormatting>
  <conditionalFormatting sqref="E182:G182">
    <cfRule type="containsText" dxfId="397" priority="111" operator="containsText" text="figure">
      <formula>NOT(ISERROR(SEARCH("figure",E182)))</formula>
    </cfRule>
    <cfRule type="cellIs" dxfId="396" priority="113" operator="equal">
      <formula>"fails"</formula>
    </cfRule>
    <cfRule type="cellIs" dxfId="395" priority="114" operator="equal">
      <formula>"ok"</formula>
    </cfRule>
  </conditionalFormatting>
  <conditionalFormatting sqref="E89:J89 A50:F77 D9:I9 J9:J14 A9:A16 J15:K15 M19:R19 W19 A19:L21 M20:W21 D25:G26 K32:K33 G38:I38 K38:M38 W38:W78 G39:H42 J39:K42 M39:M79 D42:F42 Q79 L79:L81 R79:W92 M80:Q83 Q84 M85:Q92 A91:H92 M186:O209 Q186:W244">
    <cfRule type="containsText" dxfId="394" priority="321" operator="containsText" text="figure">
      <formula>NOT(ISERROR(SEARCH("figure",A9)))</formula>
    </cfRule>
  </conditionalFormatting>
  <conditionalFormatting sqref="E89:J89">
    <cfRule type="cellIs" dxfId="393" priority="311" operator="equal">
      <formula>"ok"</formula>
    </cfRule>
  </conditionalFormatting>
  <conditionalFormatting sqref="F98">
    <cfRule type="containsText" dxfId="392" priority="30" operator="containsText" text="figure">
      <formula>NOT(ISERROR(SEARCH("figure",F98)))</formula>
    </cfRule>
    <cfRule type="cellIs" dxfId="391" priority="32" operator="equal">
      <formula>"fails"</formula>
    </cfRule>
    <cfRule type="cellIs" dxfId="390" priority="33" operator="equal">
      <formula>"ok"</formula>
    </cfRule>
  </conditionalFormatting>
  <conditionalFormatting sqref="F106">
    <cfRule type="containsText" dxfId="389" priority="26" operator="containsText" text="figure">
      <formula>NOT(ISERROR(SEARCH("figure",F106)))</formula>
    </cfRule>
    <cfRule type="cellIs" dxfId="388" priority="28" operator="equal">
      <formula>"fails"</formula>
    </cfRule>
    <cfRule type="cellIs" dxfId="387" priority="29" operator="equal">
      <formula>"ok"</formula>
    </cfRule>
  </conditionalFormatting>
  <conditionalFormatting sqref="F129:F130">
    <cfRule type="containsText" dxfId="386" priority="228" operator="containsText" text="figure">
      <formula>NOT(ISERROR(SEARCH("figure",F129)))</formula>
    </cfRule>
    <cfRule type="cellIs" dxfId="385" priority="230" operator="equal">
      <formula>"fails"</formula>
    </cfRule>
    <cfRule type="cellIs" dxfId="384" priority="231" operator="equal">
      <formula>"ok"</formula>
    </cfRule>
  </conditionalFormatting>
  <conditionalFormatting sqref="F134">
    <cfRule type="containsText" dxfId="383" priority="220" operator="containsText" text="figure">
      <formula>NOT(ISERROR(SEARCH("figure",F134)))</formula>
    </cfRule>
    <cfRule type="cellIs" dxfId="382" priority="222" operator="equal">
      <formula>"fails"</formula>
    </cfRule>
    <cfRule type="cellIs" dxfId="381" priority="223" operator="equal">
      <formula>"ok"</formula>
    </cfRule>
  </conditionalFormatting>
  <conditionalFormatting sqref="F144">
    <cfRule type="containsText" dxfId="380" priority="183" operator="containsText" text="figure">
      <formula>NOT(ISERROR(SEARCH("figure",F144)))</formula>
    </cfRule>
    <cfRule type="cellIs" dxfId="379" priority="185" operator="equal">
      <formula>"fails"</formula>
    </cfRule>
    <cfRule type="cellIs" dxfId="378" priority="186" operator="equal">
      <formula>"ok"</formula>
    </cfRule>
  </conditionalFormatting>
  <conditionalFormatting sqref="F201:F202">
    <cfRule type="containsText" dxfId="377" priority="81" operator="containsText" text="figure">
      <formula>NOT(ISERROR(SEARCH("figure",F201)))</formula>
    </cfRule>
    <cfRule type="cellIs" dxfId="376" priority="82" operator="equal">
      <formula>"fails"</formula>
    </cfRule>
    <cfRule type="containsText" dxfId="375" priority="84" operator="containsText" text="figure">
      <formula>NOT(ISERROR(SEARCH("figure",F201)))</formula>
    </cfRule>
    <cfRule type="cellIs" dxfId="374" priority="85" operator="equal">
      <formula>"fails"</formula>
    </cfRule>
  </conditionalFormatting>
  <conditionalFormatting sqref="F201:H202">
    <cfRule type="cellIs" dxfId="373" priority="83" operator="equal">
      <formula>"ok"</formula>
    </cfRule>
  </conditionalFormatting>
  <conditionalFormatting sqref="F141:J141">
    <cfRule type="containsText" dxfId="372" priority="55" operator="containsText" text="figure">
      <formula>NOT(ISERROR(SEARCH("figure",F141)))</formula>
    </cfRule>
    <cfRule type="cellIs" dxfId="371" priority="57" operator="equal">
      <formula>"fails"</formula>
    </cfRule>
    <cfRule type="cellIs" dxfId="370" priority="58" operator="equal">
      <formula>"ok"</formula>
    </cfRule>
  </conditionalFormatting>
  <conditionalFormatting sqref="G180">
    <cfRule type="containsText" dxfId="369" priority="103" operator="containsText" text="figure">
      <formula>NOT(ISERROR(SEARCH("figure",G180)))</formula>
    </cfRule>
    <cfRule type="cellIs" dxfId="368" priority="105" operator="equal">
      <formula>"fails"</formula>
    </cfRule>
    <cfRule type="cellIs" dxfId="367" priority="106" operator="equal">
      <formula>"ok"</formula>
    </cfRule>
  </conditionalFormatting>
  <conditionalFormatting sqref="G199">
    <cfRule type="containsText" dxfId="366" priority="248" operator="containsText" text="figure">
      <formula>NOT(ISERROR(SEARCH("figure",G199)))</formula>
    </cfRule>
    <cfRule type="cellIs" dxfId="365" priority="249" operator="equal">
      <formula>"fails"</formula>
    </cfRule>
  </conditionalFormatting>
  <conditionalFormatting sqref="G147:I147">
    <cfRule type="containsText" dxfId="364" priority="127" operator="containsText" text="figure">
      <formula>NOT(ISERROR(SEARCH("figure",G147)))</formula>
    </cfRule>
    <cfRule type="cellIs" dxfId="363" priority="129" operator="equal">
      <formula>"fails"</formula>
    </cfRule>
    <cfRule type="cellIs" dxfId="362" priority="130" operator="equal">
      <formula>"ok"</formula>
    </cfRule>
  </conditionalFormatting>
  <conditionalFormatting sqref="G232:I232">
    <cfRule type="containsText" dxfId="361" priority="47" operator="containsText" text="figure">
      <formula>NOT(ISERROR(SEARCH("figure",G232)))</formula>
    </cfRule>
    <cfRule type="cellIs" dxfId="360" priority="49" operator="equal">
      <formula>"fails"</formula>
    </cfRule>
    <cfRule type="cellIs" dxfId="359" priority="50" operator="equal">
      <formula>"ok"</formula>
    </cfRule>
  </conditionalFormatting>
  <conditionalFormatting sqref="H184">
    <cfRule type="containsText" dxfId="358" priority="67" operator="containsText" text="figure">
      <formula>NOT(ISERROR(SEARCH("figure",H184)))</formula>
    </cfRule>
    <cfRule type="cellIs" dxfId="357" priority="69" operator="equal">
      <formula>"fails"</formula>
    </cfRule>
    <cfRule type="cellIs" dxfId="356" priority="70" operator="equal">
      <formula>"ok"</formula>
    </cfRule>
  </conditionalFormatting>
  <conditionalFormatting sqref="I174">
    <cfRule type="containsText" dxfId="355" priority="147" operator="containsText" text="figure">
      <formula>NOT(ISERROR(SEARCH("figure",I174)))</formula>
    </cfRule>
    <cfRule type="cellIs" dxfId="354" priority="149" operator="equal">
      <formula>"fails"</formula>
    </cfRule>
    <cfRule type="cellIs" dxfId="353" priority="150" operator="equal">
      <formula>"ok"</formula>
    </cfRule>
  </conditionalFormatting>
  <conditionalFormatting sqref="J1">
    <cfRule type="containsText" dxfId="352" priority="8" operator="containsText" text="figure">
      <formula>NOT(ISERROR(SEARCH("figure",J1)))</formula>
    </cfRule>
    <cfRule type="cellIs" dxfId="351" priority="9" operator="equal">
      <formula>"fails"</formula>
    </cfRule>
  </conditionalFormatting>
  <conditionalFormatting sqref="J98">
    <cfRule type="containsText" dxfId="350" priority="34" operator="containsText" text="figure">
      <formula>NOT(ISERROR(SEARCH("figure",J98)))</formula>
    </cfRule>
    <cfRule type="cellIs" dxfId="349" priority="36" operator="equal">
      <formula>"fails"</formula>
    </cfRule>
    <cfRule type="cellIs" dxfId="348" priority="37" operator="equal">
      <formula>"ok"</formula>
    </cfRule>
  </conditionalFormatting>
  <conditionalFormatting sqref="J100">
    <cfRule type="containsText" dxfId="347" priority="42" operator="containsText" text="figure">
      <formula>NOT(ISERROR(SEARCH("figure",J100)))</formula>
    </cfRule>
    <cfRule type="cellIs" dxfId="346" priority="44" operator="equal">
      <formula>"fails"</formula>
    </cfRule>
    <cfRule type="cellIs" dxfId="345" priority="45" operator="equal">
      <formula>"ok"</formula>
    </cfRule>
  </conditionalFormatting>
  <conditionalFormatting sqref="J103">
    <cfRule type="containsText" dxfId="344" priority="38" operator="containsText" text="figure">
      <formula>NOT(ISERROR(SEARCH("figure",J103)))</formula>
    </cfRule>
    <cfRule type="cellIs" dxfId="343" priority="40" operator="equal">
      <formula>"fails"</formula>
    </cfRule>
    <cfRule type="cellIs" dxfId="342" priority="41" operator="equal">
      <formula>"ok"</formula>
    </cfRule>
  </conditionalFormatting>
  <conditionalFormatting sqref="J151:J153">
    <cfRule type="containsText" dxfId="341" priority="139" operator="containsText" text="figure">
      <formula>NOT(ISERROR(SEARCH("figure",J151)))</formula>
    </cfRule>
    <cfRule type="cellIs" dxfId="340" priority="141" operator="equal">
      <formula>"fails"</formula>
    </cfRule>
    <cfRule type="cellIs" dxfId="339" priority="142" operator="equal">
      <formula>"ok"</formula>
    </cfRule>
  </conditionalFormatting>
  <conditionalFormatting sqref="J157">
    <cfRule type="containsText" dxfId="338" priority="135" operator="containsText" text="figure">
      <formula>NOT(ISERROR(SEARCH("figure",J157)))</formula>
    </cfRule>
    <cfRule type="cellIs" dxfId="337" priority="137" operator="equal">
      <formula>"fails"</formula>
    </cfRule>
    <cfRule type="cellIs" dxfId="336" priority="138" operator="equal">
      <formula>"ok"</formula>
    </cfRule>
  </conditionalFormatting>
  <conditionalFormatting sqref="J173:J174">
    <cfRule type="containsText" dxfId="335" priority="99" operator="containsText" text="figure">
      <formula>NOT(ISERROR(SEARCH("figure",J173)))</formula>
    </cfRule>
    <cfRule type="cellIs" dxfId="334" priority="101" operator="equal">
      <formula>"fails"</formula>
    </cfRule>
    <cfRule type="cellIs" dxfId="333" priority="102" operator="equal">
      <formula>"ok"</formula>
    </cfRule>
  </conditionalFormatting>
  <conditionalFormatting sqref="J179">
    <cfRule type="containsText" dxfId="332" priority="107" operator="containsText" text="figure">
      <formula>NOT(ISERROR(SEARCH("figure",J179)))</formula>
    </cfRule>
    <cfRule type="cellIs" dxfId="331" priority="109" operator="equal">
      <formula>"fails"</formula>
    </cfRule>
    <cfRule type="cellIs" dxfId="330" priority="110" operator="equal">
      <formula>"ok"</formula>
    </cfRule>
  </conditionalFormatting>
  <conditionalFormatting sqref="J245 B246:J247">
    <cfRule type="containsText" dxfId="329" priority="15" operator="containsText" text="figure">
      <formula>NOT(ISERROR(SEARCH("figure",B245)))</formula>
    </cfRule>
  </conditionalFormatting>
  <conditionalFormatting sqref="K169">
    <cfRule type="containsText" dxfId="328" priority="131" operator="containsText" text="figure">
      <formula>NOT(ISERROR(SEARCH("figure",K169)))</formula>
    </cfRule>
    <cfRule type="cellIs" dxfId="327" priority="133" operator="equal">
      <formula>"fails"</formula>
    </cfRule>
    <cfRule type="cellIs" dxfId="326" priority="134" operator="equal">
      <formula>"ok"</formula>
    </cfRule>
  </conditionalFormatting>
  <conditionalFormatting sqref="K177">
    <cfRule type="containsText" dxfId="325" priority="123" operator="containsText" text="figure">
      <formula>NOT(ISERROR(SEARCH("figure",K177)))</formula>
    </cfRule>
    <cfRule type="cellIs" dxfId="324" priority="125" operator="equal">
      <formula>"fails"</formula>
    </cfRule>
    <cfRule type="cellIs" dxfId="323" priority="126" operator="equal">
      <formula>"ok"</formula>
    </cfRule>
  </conditionalFormatting>
  <conditionalFormatting sqref="K23:L23">
    <cfRule type="containsText" dxfId="322" priority="191" operator="containsText" text="figure">
      <formula>NOT(ISERROR(SEARCH("figure",K23)))</formula>
    </cfRule>
  </conditionalFormatting>
  <conditionalFormatting sqref="L248">
    <cfRule type="containsText" dxfId="321" priority="327" operator="containsText" text="figure">
      <formula>NOT(ISERROR(SEARCH("figure",#REF!)))</formula>
    </cfRule>
  </conditionalFormatting>
  <conditionalFormatting sqref="L96:M97">
    <cfRule type="cellIs" dxfId="320" priority="24" operator="equal">
      <formula>"fails"</formula>
    </cfRule>
    <cfRule type="cellIs" dxfId="319" priority="25" operator="equal">
      <formula>"ok"</formula>
    </cfRule>
  </conditionalFormatting>
  <conditionalFormatting sqref="M2:O14">
    <cfRule type="containsText" dxfId="318" priority="272" operator="containsText" text="figure">
      <formula>NOT(ISERROR(SEARCH("figure",M2)))</formula>
    </cfRule>
    <cfRule type="cellIs" dxfId="317" priority="273" operator="equal">
      <formula>"fails"</formula>
    </cfRule>
    <cfRule type="cellIs" dxfId="316" priority="274" operator="equal">
      <formula>"ok"</formula>
    </cfRule>
  </conditionalFormatting>
  <conditionalFormatting sqref="M245:W245 L248">
    <cfRule type="cellIs" dxfId="315" priority="304" operator="equal">
      <formula>"fails"</formula>
    </cfRule>
    <cfRule type="cellIs" dxfId="314" priority="305" operator="equal">
      <formula>"ok"</formula>
    </cfRule>
  </conditionalFormatting>
  <conditionalFormatting sqref="M245:W245">
    <cfRule type="containsText" dxfId="313" priority="326" operator="containsText" text="figure">
      <formula>NOT(ISERROR(SEARCH("figure",#REF!)))</formula>
    </cfRule>
  </conditionalFormatting>
  <conditionalFormatting sqref="T1:W17 Q2:S2 A3 L3:L4 Q3:R14 S3:S15 A7:J8 D9:I9 J9:J14 A9:A16 K10:K11 L11:L12 J15:K15 M15:M18 Q16:S17 D17:K18 Q18:W18 M19:R19 W19 A19:L21 M20:W21 A22:W22 D23:G23 M23:W33 D24 D25:G26 K32:K33 A33:G33 J33 G34:I34 C34:F35 K34:W35 G36:W36 A37:C37 G37 I37:W37 G38:I38 K38:M38 W38:W78 G39:H42 J39:K42 M39:M79 E40:F41 D42:F42 A43:F44 G43:K50 A50:F77 G51:J51 G52:K77 A79 Q79 L79:L81 R79:W92 M80:Q83 A82 E82:F83 G82:G85 I82:J85 A84:C84 Q84 A85:F86 M85:Q92 G86:J86 A87:J87 A90:E90 G90:H90 I91:J91 A91:H92 I92:K92 A93 M93:M95 D95 B95:B96 F95:F96 I95:J96 D96:E96 L108:W111 D109:D110 I109:J110 J112 A112:G113 L112:L115 M112:W185 I113:J113 A114:I114 D116:L116 B118:J118 A123:F123 C124:F124 A124:A125 G140:J140 A140:A141 B141 G142:J144 G145:K145 F146 I146:K146 G148:K150 I151:J151 D154:E155 E164 K174:K175 F184:G185 A186:K186 M186:O209 Q186:W244 A187 A191:K196 A197:J197 A198:I198 J199 A200:J200 A201:C202 J201:J202 A207:J207 A208:D208 F208:K208 A209:G209 J209:K209 A210:M216 G217:M217 A218:M220 A221:J221 L221:M234 A222:D223 F222:J223 A224:J226 F227:J227 A228:J230 A231:F232 J231:J233 A233:I233">
    <cfRule type="cellIs" dxfId="312" priority="323" operator="equal">
      <formula>"ok"</formula>
    </cfRule>
  </conditionalFormatting>
  <conditionalFormatting sqref="Z219:AA219">
    <cfRule type="containsText" dxfId="311" priority="260" operator="containsText" text="figure">
      <formula>NOT(ISERROR(SEARCH("figure",Z219)))</formula>
    </cfRule>
    <cfRule type="cellIs" dxfId="310" priority="262" operator="equal">
      <formula>"fails"</formula>
    </cfRule>
    <cfRule type="cellIs" dxfId="309" priority="263" operator="equal">
      <formula>"ok"</formula>
    </cfRule>
  </conditionalFormatting>
  <pageMargins left="1" right="1" top="1" bottom="1" header="0.7" footer="0.7"/>
  <pageSetup scale="90" firstPageNumber="6" fitToHeight="0" orientation="portrait" useFirstPageNumber="1" r:id="rId1"/>
  <headerFooter>
    <oddHeader>&amp;L&amp;"Arial,Italic"&amp;9EXAMPLE 6.2 - TYPE 10 MASH STRENGTH DESIGN
=================================================================================================&amp;R&amp;"Arial,Italic"&amp;9&amp;P</oddHeader>
    <oddFooter>&amp;L&amp;"Arial,Italic"&amp;9=================================================================================================
CDOT Bridge Design Manual&amp;R
&amp;"Arial,Italic"&amp;9April 2025</oddFooter>
  </headerFooter>
  <rowBreaks count="4" manualBreakCount="4">
    <brk id="54" max="16383" man="1"/>
    <brk id="105" max="9" man="1"/>
    <brk id="150" max="9" man="1"/>
    <brk id="20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1"/>
  <sheetViews>
    <sheetView topLeftCell="A117" zoomScale="115" zoomScaleNormal="115" zoomScaleSheetLayoutView="115" workbookViewId="0">
      <selection activeCell="N151" sqref="N151"/>
    </sheetView>
  </sheetViews>
  <sheetFormatPr defaultColWidth="7.5703125" defaultRowHeight="12"/>
  <cols>
    <col min="1" max="1" width="7.28515625" style="2" customWidth="1"/>
    <col min="2" max="8" width="7.5703125" style="2"/>
    <col min="9" max="9" width="7.5703125" style="2" customWidth="1"/>
    <col min="10" max="10" width="7.7109375" style="2" customWidth="1"/>
    <col min="11" max="12" width="8.140625" style="2" customWidth="1"/>
    <col min="13" max="14" width="7.5703125" style="2"/>
    <col min="15" max="15" width="8.5703125" style="2" customWidth="1"/>
    <col min="16" max="16" width="8.42578125" style="2" bestFit="1" customWidth="1"/>
    <col min="17" max="16384" width="7.5703125" style="2"/>
  </cols>
  <sheetData>
    <row r="1" spans="1:16" ht="15.75">
      <c r="K1" s="14" t="s">
        <v>705</v>
      </c>
    </row>
    <row r="2" spans="1:16" ht="12" customHeight="1">
      <c r="K2" s="14"/>
    </row>
    <row r="3" spans="1:16" ht="12.75" customHeight="1">
      <c r="A3" s="1" t="s">
        <v>50</v>
      </c>
      <c r="N3" s="113" t="s">
        <v>47</v>
      </c>
      <c r="O3" s="114" t="s">
        <v>48</v>
      </c>
      <c r="P3" s="115" t="s">
        <v>49</v>
      </c>
    </row>
    <row r="4" spans="1:16">
      <c r="A4" s="174" t="s">
        <v>772</v>
      </c>
      <c r="B4" s="175"/>
      <c r="C4" s="175"/>
      <c r="D4" s="175"/>
      <c r="E4" s="175"/>
      <c r="F4" s="175"/>
      <c r="G4" s="175"/>
      <c r="H4" s="175"/>
      <c r="I4" s="175"/>
      <c r="J4" s="175"/>
      <c r="K4" s="175"/>
      <c r="N4" s="116">
        <v>3</v>
      </c>
      <c r="O4" s="117">
        <v>0.11</v>
      </c>
      <c r="P4" s="118">
        <v>0.375</v>
      </c>
    </row>
    <row r="5" spans="1:16">
      <c r="A5" s="175"/>
      <c r="B5" s="175"/>
      <c r="C5" s="175"/>
      <c r="D5" s="175"/>
      <c r="E5" s="175"/>
      <c r="F5" s="175"/>
      <c r="G5" s="175"/>
      <c r="H5" s="175"/>
      <c r="I5" s="175"/>
      <c r="J5" s="175"/>
      <c r="K5" s="175"/>
      <c r="N5" s="116">
        <v>4</v>
      </c>
      <c r="O5" s="117">
        <v>0.2</v>
      </c>
      <c r="P5" s="118">
        <v>0.5</v>
      </c>
    </row>
    <row r="6" spans="1:16">
      <c r="A6" s="175"/>
      <c r="B6" s="175"/>
      <c r="C6" s="175"/>
      <c r="D6" s="175"/>
      <c r="E6" s="175"/>
      <c r="F6" s="175"/>
      <c r="G6" s="175"/>
      <c r="H6" s="175"/>
      <c r="I6" s="175"/>
      <c r="J6" s="175"/>
      <c r="K6" s="175"/>
      <c r="N6" s="116">
        <v>5</v>
      </c>
      <c r="O6" s="117">
        <v>0.31</v>
      </c>
      <c r="P6" s="118">
        <v>0.625</v>
      </c>
    </row>
    <row r="7" spans="1:16">
      <c r="A7" s="175"/>
      <c r="B7" s="175"/>
      <c r="C7" s="175"/>
      <c r="D7" s="175"/>
      <c r="E7" s="175"/>
      <c r="F7" s="175"/>
      <c r="G7" s="175"/>
      <c r="H7" s="175"/>
      <c r="I7" s="175"/>
      <c r="J7" s="175"/>
      <c r="K7" s="175"/>
      <c r="N7" s="116">
        <v>6</v>
      </c>
      <c r="O7" s="117">
        <v>0.44</v>
      </c>
      <c r="P7" s="118">
        <v>0.75</v>
      </c>
    </row>
    <row r="8" spans="1:16">
      <c r="A8" s="175"/>
      <c r="B8" s="175"/>
      <c r="C8" s="175"/>
      <c r="D8" s="175"/>
      <c r="E8" s="175"/>
      <c r="F8" s="175"/>
      <c r="G8" s="175"/>
      <c r="H8" s="175"/>
      <c r="I8" s="175"/>
      <c r="J8" s="175"/>
      <c r="K8" s="175"/>
      <c r="N8" s="116">
        <v>7</v>
      </c>
      <c r="O8" s="117">
        <v>0.6</v>
      </c>
      <c r="P8" s="118">
        <v>0.875</v>
      </c>
    </row>
    <row r="9" spans="1:16">
      <c r="A9" s="175"/>
      <c r="B9" s="175"/>
      <c r="C9" s="175"/>
      <c r="D9" s="175"/>
      <c r="E9" s="175"/>
      <c r="F9" s="175"/>
      <c r="G9" s="175"/>
      <c r="H9" s="175"/>
      <c r="I9" s="175"/>
      <c r="J9" s="175"/>
      <c r="K9" s="175"/>
      <c r="N9" s="116">
        <v>8</v>
      </c>
      <c r="O9" s="117">
        <v>0.79</v>
      </c>
      <c r="P9" s="118">
        <v>1</v>
      </c>
    </row>
    <row r="10" spans="1:16" ht="10.5" customHeight="1">
      <c r="A10" s="175"/>
      <c r="B10" s="175"/>
      <c r="C10" s="175"/>
      <c r="D10" s="175"/>
      <c r="E10" s="175"/>
      <c r="F10" s="175"/>
      <c r="G10" s="175"/>
      <c r="H10" s="175"/>
      <c r="I10" s="175"/>
      <c r="J10" s="175"/>
      <c r="K10" s="175"/>
      <c r="N10" s="116">
        <v>9</v>
      </c>
      <c r="O10" s="117">
        <v>1</v>
      </c>
      <c r="P10" s="118">
        <v>1.1279999999999999</v>
      </c>
    </row>
    <row r="11" spans="1:16" ht="13.5">
      <c r="A11" s="2" t="s">
        <v>51</v>
      </c>
      <c r="D11" s="2" t="s">
        <v>446</v>
      </c>
      <c r="E11" s="110">
        <f>3*12+7</f>
        <v>43</v>
      </c>
      <c r="F11" s="2" t="s">
        <v>52</v>
      </c>
      <c r="N11" s="116">
        <v>10</v>
      </c>
      <c r="O11" s="117">
        <v>1.27</v>
      </c>
      <c r="P11" s="118">
        <v>1.27</v>
      </c>
    </row>
    <row r="12" spans="1:16" ht="13.5">
      <c r="A12" s="2" t="s">
        <v>262</v>
      </c>
      <c r="D12" s="2" t="s">
        <v>548</v>
      </c>
      <c r="E12" s="110">
        <v>4.5</v>
      </c>
      <c r="F12" s="2" t="s">
        <v>706</v>
      </c>
      <c r="N12" s="116">
        <v>11</v>
      </c>
      <c r="O12" s="117">
        <v>1.56</v>
      </c>
      <c r="P12" s="118">
        <v>1.41</v>
      </c>
    </row>
    <row r="13" spans="1:16" ht="13.5">
      <c r="A13" s="2" t="s">
        <v>263</v>
      </c>
      <c r="D13" s="2" t="s">
        <v>549</v>
      </c>
      <c r="E13" s="110">
        <v>75</v>
      </c>
      <c r="F13" s="2" t="s">
        <v>32</v>
      </c>
      <c r="N13" s="116">
        <v>12</v>
      </c>
      <c r="O13" s="117">
        <v>1.76</v>
      </c>
      <c r="P13" s="118">
        <v>1.5</v>
      </c>
    </row>
    <row r="14" spans="1:16">
      <c r="A14" s="2" t="s">
        <v>53</v>
      </c>
      <c r="D14" s="2" t="s">
        <v>54</v>
      </c>
      <c r="E14" s="110">
        <v>1.5</v>
      </c>
      <c r="F14" s="2" t="s">
        <v>52</v>
      </c>
      <c r="N14" s="116">
        <v>14</v>
      </c>
      <c r="O14" s="117">
        <v>2.25</v>
      </c>
      <c r="P14" s="118">
        <v>1.6930000000000001</v>
      </c>
    </row>
    <row r="15" spans="1:16">
      <c r="A15" s="2" t="s">
        <v>585</v>
      </c>
      <c r="D15" s="2" t="s">
        <v>644</v>
      </c>
      <c r="E15" s="110">
        <v>1</v>
      </c>
      <c r="F15" s="2" t="s">
        <v>55</v>
      </c>
      <c r="K15" s="4" t="s">
        <v>56</v>
      </c>
      <c r="N15" s="119">
        <v>18</v>
      </c>
      <c r="O15" s="120">
        <v>4</v>
      </c>
      <c r="P15" s="121">
        <v>2.2570000000000001</v>
      </c>
    </row>
    <row r="16" spans="1:16">
      <c r="A16" s="2" t="s">
        <v>60</v>
      </c>
      <c r="E16" s="131" t="s">
        <v>61</v>
      </c>
      <c r="K16" s="4" t="s">
        <v>586</v>
      </c>
    </row>
    <row r="17" spans="1:11" ht="13.5">
      <c r="A17" s="2" t="s">
        <v>63</v>
      </c>
      <c r="D17" s="2" t="s">
        <v>449</v>
      </c>
      <c r="E17" s="110">
        <v>80</v>
      </c>
      <c r="F17" s="2" t="s">
        <v>64</v>
      </c>
    </row>
    <row r="18" spans="1:11" ht="13.5">
      <c r="A18" s="2" t="s">
        <v>65</v>
      </c>
      <c r="D18" s="2" t="s">
        <v>450</v>
      </c>
      <c r="E18" s="110">
        <v>5</v>
      </c>
      <c r="F18" s="2" t="s">
        <v>66</v>
      </c>
    </row>
    <row r="20" spans="1:11" ht="12.75">
      <c r="A20" s="1" t="s">
        <v>595</v>
      </c>
    </row>
    <row r="21" spans="1:11" ht="12.75" customHeight="1">
      <c r="A21" s="170" t="s">
        <v>724</v>
      </c>
      <c r="B21" s="171"/>
      <c r="C21" s="171"/>
      <c r="D21" s="171"/>
      <c r="E21" s="171"/>
      <c r="F21" s="171"/>
      <c r="G21" s="171"/>
      <c r="H21" s="171"/>
      <c r="I21" s="171"/>
      <c r="J21" s="171"/>
      <c r="K21" s="171"/>
    </row>
    <row r="22" spans="1:11" ht="12.75" customHeight="1">
      <c r="A22" s="170"/>
      <c r="B22" s="171"/>
      <c r="C22" s="171"/>
      <c r="D22" s="171"/>
      <c r="E22" s="171"/>
      <c r="F22" s="171"/>
      <c r="G22" s="171"/>
      <c r="H22" s="171"/>
      <c r="I22" s="171"/>
      <c r="J22" s="171"/>
      <c r="K22" s="171"/>
    </row>
    <row r="31" spans="1:11">
      <c r="G31" s="122"/>
      <c r="H31" s="122"/>
    </row>
    <row r="32" spans="1:11">
      <c r="J32" s="87"/>
    </row>
    <row r="33" spans="1:10">
      <c r="J33" s="87"/>
    </row>
    <row r="34" spans="1:10">
      <c r="G34" s="122"/>
    </row>
    <row r="42" spans="1:10">
      <c r="A42" s="51" t="s">
        <v>587</v>
      </c>
      <c r="D42" s="9" t="s">
        <v>721</v>
      </c>
      <c r="E42" s="9" t="s">
        <v>722</v>
      </c>
      <c r="F42" s="9" t="s">
        <v>723</v>
      </c>
      <c r="G42" s="9" t="s">
        <v>725</v>
      </c>
    </row>
    <row r="43" spans="1:10">
      <c r="A43" s="2" t="s">
        <v>591</v>
      </c>
      <c r="D43" s="137">
        <f>11+1/8</f>
        <v>11.125</v>
      </c>
      <c r="E43" s="110">
        <v>8</v>
      </c>
      <c r="F43" s="110">
        <v>8</v>
      </c>
      <c r="G43" s="110">
        <f>F44</f>
        <v>17.625</v>
      </c>
      <c r="H43" s="2" t="s">
        <v>52</v>
      </c>
    </row>
    <row r="44" spans="1:10">
      <c r="A44" s="2" t="s">
        <v>592</v>
      </c>
      <c r="D44" s="110">
        <f>8+4+9/16</f>
        <v>12.5625</v>
      </c>
      <c r="E44" s="110">
        <v>8</v>
      </c>
      <c r="F44" s="110">
        <f>12+5+5/8</f>
        <v>17.625</v>
      </c>
      <c r="G44" s="110">
        <v>18</v>
      </c>
      <c r="H44" s="2" t="s">
        <v>52</v>
      </c>
    </row>
    <row r="45" spans="1:10">
      <c r="A45" s="2" t="s">
        <v>593</v>
      </c>
      <c r="D45" s="110">
        <v>9</v>
      </c>
      <c r="E45" s="110">
        <f>12+7</f>
        <v>19</v>
      </c>
      <c r="F45" s="110">
        <f>12+1</f>
        <v>13</v>
      </c>
      <c r="G45" s="110">
        <v>2</v>
      </c>
      <c r="H45" s="2" t="s">
        <v>52</v>
      </c>
    </row>
    <row r="46" spans="1:10" ht="13.5">
      <c r="A46" s="124" t="s">
        <v>710</v>
      </c>
      <c r="B46" s="5" t="s">
        <v>715</v>
      </c>
    </row>
    <row r="47" spans="1:10">
      <c r="A47" s="124" t="s">
        <v>711</v>
      </c>
      <c r="B47" s="5" t="s">
        <v>716</v>
      </c>
    </row>
    <row r="48" spans="1:10" ht="13.5">
      <c r="A48" s="124" t="s">
        <v>728</v>
      </c>
      <c r="B48" s="5" t="s">
        <v>729</v>
      </c>
    </row>
    <row r="49" spans="1:20" ht="13.5">
      <c r="A49" s="124" t="s">
        <v>712</v>
      </c>
      <c r="B49" s="5" t="s">
        <v>717</v>
      </c>
    </row>
    <row r="50" spans="1:20" ht="13.5">
      <c r="A50" s="124" t="s">
        <v>713</v>
      </c>
      <c r="B50" s="5" t="s">
        <v>718</v>
      </c>
    </row>
    <row r="51" spans="1:20">
      <c r="A51" s="125" t="s">
        <v>714</v>
      </c>
      <c r="B51" s="5" t="s">
        <v>719</v>
      </c>
    </row>
    <row r="56" spans="1:20">
      <c r="A56" s="51" t="s">
        <v>731</v>
      </c>
      <c r="D56" s="132">
        <v>4</v>
      </c>
      <c r="E56" s="133">
        <v>9</v>
      </c>
      <c r="H56" s="2" t="s">
        <v>108</v>
      </c>
      <c r="J56" s="52">
        <f>LOOKUP(D56,$N$4:$N$15,$P$4:$P$15)</f>
        <v>0.5</v>
      </c>
      <c r="K56" s="2" t="s">
        <v>52</v>
      </c>
    </row>
    <row r="57" spans="1:20" ht="13.5">
      <c r="H57" s="2" t="s">
        <v>110</v>
      </c>
      <c r="J57" s="29">
        <f>LOOKUP(D56,$N$4:$N$15,$O$4:$O$15)</f>
        <v>0.2</v>
      </c>
      <c r="K57" s="2" t="s">
        <v>410</v>
      </c>
    </row>
    <row r="58" spans="1:20" ht="27">
      <c r="C58" s="126" t="s">
        <v>645</v>
      </c>
      <c r="D58" s="70" t="s">
        <v>707</v>
      </c>
      <c r="E58" s="128" t="s">
        <v>727</v>
      </c>
      <c r="F58" s="69" t="s">
        <v>647</v>
      </c>
      <c r="G58" s="129" t="s">
        <v>708</v>
      </c>
      <c r="H58" s="70" t="s">
        <v>671</v>
      </c>
      <c r="I58" s="128" t="s">
        <v>649</v>
      </c>
      <c r="J58" s="70" t="s">
        <v>650</v>
      </c>
      <c r="K58" s="127" t="s">
        <v>651</v>
      </c>
    </row>
    <row r="59" spans="1:20">
      <c r="A59" s="102" t="s">
        <v>597</v>
      </c>
      <c r="B59" s="112"/>
      <c r="C59" s="62">
        <f>12*($J$57/$E$56)</f>
        <v>0.26666666666666666</v>
      </c>
      <c r="D59" s="62">
        <f>D45</f>
        <v>9</v>
      </c>
      <c r="E59" s="62">
        <f>AVERAGE(D43:D44)</f>
        <v>11.84375</v>
      </c>
      <c r="F59" s="62">
        <f>E59-$E$14-$J$56/2</f>
        <v>10.09375</v>
      </c>
      <c r="G59" s="62">
        <v>12</v>
      </c>
      <c r="H59" s="62">
        <f>0.85*$E$12*G59</f>
        <v>45.9</v>
      </c>
      <c r="I59" s="62">
        <f>C59*$E$13/H59</f>
        <v>0.4357298474945534</v>
      </c>
      <c r="J59" s="62">
        <f>$E$15*C59*$E$13*(F59-0.5*I59)/12</f>
        <v>16.459808460421204</v>
      </c>
      <c r="K59" s="62">
        <f>J59*D59/$E$11</f>
        <v>3.4450761893904849</v>
      </c>
      <c r="Q59" s="32"/>
      <c r="R59" s="32"/>
      <c r="S59" s="32"/>
      <c r="T59" s="32"/>
    </row>
    <row r="60" spans="1:20">
      <c r="A60" s="102" t="s">
        <v>598</v>
      </c>
      <c r="B60" s="112"/>
      <c r="C60" s="62">
        <f>12*($J$57/$E$56)</f>
        <v>0.26666666666666666</v>
      </c>
      <c r="D60" s="62">
        <f>E45</f>
        <v>19</v>
      </c>
      <c r="E60" s="62">
        <f>AVERAGE(E43:E44)</f>
        <v>8</v>
      </c>
      <c r="F60" s="62">
        <f>E60-$E$14-$J$56/2</f>
        <v>6.25</v>
      </c>
      <c r="G60" s="62">
        <v>12</v>
      </c>
      <c r="H60" s="62">
        <f>0.85*$E$12*G60</f>
        <v>45.9</v>
      </c>
      <c r="I60" s="62">
        <f>C60*$E$13/H60</f>
        <v>0.4357298474945534</v>
      </c>
      <c r="J60" s="62">
        <f>$E$15*C60*$E$13*(F60-0.5*I60)/12</f>
        <v>10.053558460421206</v>
      </c>
      <c r="K60" s="62">
        <f>J60*D60/$E$11</f>
        <v>4.4422700173954164</v>
      </c>
    </row>
    <row r="61" spans="1:20">
      <c r="A61" s="102" t="s">
        <v>599</v>
      </c>
      <c r="B61" s="112"/>
      <c r="C61" s="62">
        <f>12*($J$57/$E$56)</f>
        <v>0.26666666666666666</v>
      </c>
      <c r="D61" s="62">
        <f>F45</f>
        <v>13</v>
      </c>
      <c r="E61" s="62">
        <f>AVERAGE(F43:F44)</f>
        <v>12.8125</v>
      </c>
      <c r="F61" s="62">
        <f>E61-$E$14-$J$56/2</f>
        <v>11.0625</v>
      </c>
      <c r="G61" s="62">
        <v>12</v>
      </c>
      <c r="H61" s="62">
        <f>0.85*$E$12*G61</f>
        <v>45.9</v>
      </c>
      <c r="I61" s="62">
        <f>C61*$E$13/H61</f>
        <v>0.4357298474945534</v>
      </c>
      <c r="J61" s="62">
        <f>$E$15*C61*$E$13*(F61-0.5*I61)/12</f>
        <v>18.07439179375454</v>
      </c>
      <c r="K61" s="62">
        <f>J61*D61/$E$11</f>
        <v>5.4643510074141632</v>
      </c>
    </row>
    <row r="62" spans="1:20">
      <c r="A62" s="102" t="s">
        <v>726</v>
      </c>
      <c r="B62" s="112"/>
      <c r="C62" s="62">
        <f>12*($J$57/$E$56)</f>
        <v>0.26666666666666666</v>
      </c>
      <c r="D62" s="62">
        <f>G45</f>
        <v>2</v>
      </c>
      <c r="E62" s="62">
        <f>AVERAGE(G43:G44)</f>
        <v>17.8125</v>
      </c>
      <c r="F62" s="62">
        <f>E62-$E$14-$J$56/2</f>
        <v>16.0625</v>
      </c>
      <c r="G62" s="62">
        <v>12</v>
      </c>
      <c r="H62" s="62">
        <f>0.85*$E$12*G62</f>
        <v>45.9</v>
      </c>
      <c r="I62" s="62">
        <f>C62*$E$13/H62</f>
        <v>0.4357298474945534</v>
      </c>
      <c r="J62" s="62">
        <f>$E$15*C62*$E$13*(F62-0.5*I62)/12</f>
        <v>26.407725127087872</v>
      </c>
      <c r="K62" s="62">
        <f>J62*D62/$E$11</f>
        <v>1.2282662849808312</v>
      </c>
    </row>
    <row r="63" spans="1:20" ht="13.5">
      <c r="J63" s="4" t="s">
        <v>730</v>
      </c>
      <c r="K63" s="123">
        <f>SUM(K59:K62)</f>
        <v>14.579963499180897</v>
      </c>
    </row>
    <row r="64" spans="1:20">
      <c r="J64" s="4"/>
      <c r="K64" s="29"/>
    </row>
    <row r="66" spans="1:11">
      <c r="A66" s="51" t="s">
        <v>732</v>
      </c>
      <c r="D66" s="132">
        <v>4</v>
      </c>
      <c r="E66" s="133">
        <v>18</v>
      </c>
      <c r="J66" s="52"/>
    </row>
    <row r="67" spans="1:11">
      <c r="J67" s="29"/>
    </row>
    <row r="68" spans="1:11" ht="27">
      <c r="C68" s="126" t="s">
        <v>645</v>
      </c>
      <c r="D68" s="70" t="s">
        <v>707</v>
      </c>
      <c r="E68" s="128" t="s">
        <v>727</v>
      </c>
      <c r="F68" s="69" t="s">
        <v>647</v>
      </c>
      <c r="G68" s="129" t="s">
        <v>708</v>
      </c>
      <c r="H68" s="70" t="s">
        <v>671</v>
      </c>
      <c r="I68" s="128" t="s">
        <v>649</v>
      </c>
      <c r="J68" s="70" t="s">
        <v>650</v>
      </c>
      <c r="K68" s="127" t="s">
        <v>651</v>
      </c>
    </row>
    <row r="69" spans="1:11">
      <c r="A69" s="102" t="s">
        <v>597</v>
      </c>
      <c r="B69" s="112"/>
      <c r="C69" s="62">
        <f>12*($J$57/$E$66)</f>
        <v>0.13333333333333333</v>
      </c>
      <c r="D69" s="62">
        <f>D59</f>
        <v>9</v>
      </c>
      <c r="E69" s="62">
        <f>E59</f>
        <v>11.84375</v>
      </c>
      <c r="F69" s="62">
        <f>E69-(8-1.5-0.5/2)</f>
        <v>5.59375</v>
      </c>
      <c r="G69" s="62">
        <v>12</v>
      </c>
      <c r="H69" s="62">
        <f>0.85*$E$12*G69</f>
        <v>45.9</v>
      </c>
      <c r="I69" s="62">
        <f>C69*$E$13/H69</f>
        <v>0.2178649237472767</v>
      </c>
      <c r="J69" s="62">
        <f>$E$15*C69*$E$13*(F69-0.5*I69)/12</f>
        <v>4.570681281771968</v>
      </c>
      <c r="K69" s="62">
        <f>J69*D69/$E$11</f>
        <v>0.95665422176622583</v>
      </c>
    </row>
    <row r="70" spans="1:11">
      <c r="A70" s="102" t="s">
        <v>598</v>
      </c>
      <c r="B70" s="112"/>
      <c r="C70" s="62">
        <v>0</v>
      </c>
      <c r="D70" s="62">
        <f t="shared" ref="D70:E72" si="0">D60</f>
        <v>19</v>
      </c>
      <c r="E70" s="62">
        <f t="shared" si="0"/>
        <v>8</v>
      </c>
      <c r="F70" s="62">
        <f>E70-(8-1.5-0.5/2)</f>
        <v>1.75</v>
      </c>
      <c r="G70" s="62">
        <v>12</v>
      </c>
      <c r="H70" s="62">
        <f>0.85*$E$12*G70</f>
        <v>45.9</v>
      </c>
      <c r="I70" s="62">
        <f>C70*$E$13/H70</f>
        <v>0</v>
      </c>
      <c r="J70" s="62">
        <f>$E$15*C70*$E$13*(F70-0.5*I70)/12</f>
        <v>0</v>
      </c>
      <c r="K70" s="62">
        <f>J70*D70/$E$11</f>
        <v>0</v>
      </c>
    </row>
    <row r="71" spans="1:11">
      <c r="A71" s="102" t="s">
        <v>599</v>
      </c>
      <c r="B71" s="112"/>
      <c r="C71" s="62">
        <f>12*($J$57/$E$66)</f>
        <v>0.13333333333333333</v>
      </c>
      <c r="D71" s="62">
        <f t="shared" si="0"/>
        <v>13</v>
      </c>
      <c r="E71" s="62">
        <f t="shared" si="0"/>
        <v>12.8125</v>
      </c>
      <c r="F71" s="62">
        <f>E71-(8-1.5-0.5/2)</f>
        <v>6.5625</v>
      </c>
      <c r="G71" s="62">
        <v>12</v>
      </c>
      <c r="H71" s="62">
        <f>0.85*$E$12*G71</f>
        <v>45.9</v>
      </c>
      <c r="I71" s="62">
        <f>C71*$E$13/H71</f>
        <v>0.2178649237472767</v>
      </c>
      <c r="J71" s="62">
        <f>$E$15*C71*$E$13*(F71-0.5*I71)/12</f>
        <v>5.3779729484386349</v>
      </c>
      <c r="K71" s="62">
        <f>J71*D71/$E$11</f>
        <v>1.6258987983651687</v>
      </c>
    </row>
    <row r="72" spans="1:11">
      <c r="A72" s="102" t="s">
        <v>726</v>
      </c>
      <c r="B72" s="112"/>
      <c r="C72" s="62">
        <f>12*($J$57/$E$66)</f>
        <v>0.13333333333333333</v>
      </c>
      <c r="D72" s="62">
        <f t="shared" si="0"/>
        <v>2</v>
      </c>
      <c r="E72" s="62">
        <f t="shared" si="0"/>
        <v>17.8125</v>
      </c>
      <c r="F72" s="62">
        <f>E72-(8-1.5-0.5/2)</f>
        <v>11.5625</v>
      </c>
      <c r="G72" s="62">
        <v>12</v>
      </c>
      <c r="H72" s="62">
        <f>0.85*$E$12*G72</f>
        <v>45.9</v>
      </c>
      <c r="I72" s="62">
        <f>C72*$E$13/H72</f>
        <v>0.2178649237472767</v>
      </c>
      <c r="J72" s="62">
        <f>$E$15*C72*$E$13*(F72-0.5*I72)/12</f>
        <v>9.5446396151053019</v>
      </c>
      <c r="K72" s="62">
        <f>J72*D72/$E$11</f>
        <v>0.44393672628396752</v>
      </c>
    </row>
    <row r="73" spans="1:11" ht="13.5">
      <c r="A73" s="124"/>
      <c r="B73" s="5"/>
      <c r="J73" s="4" t="s">
        <v>733</v>
      </c>
      <c r="K73" s="123">
        <f>SUM(K69:K72)</f>
        <v>3.0264897464153622</v>
      </c>
    </row>
    <row r="74" spans="1:11">
      <c r="A74" s="124"/>
      <c r="B74" s="5"/>
      <c r="J74" s="4"/>
      <c r="K74" s="29"/>
    </row>
    <row r="76" spans="1:11">
      <c r="A76" s="51" t="s">
        <v>736</v>
      </c>
      <c r="D76" s="132">
        <v>4</v>
      </c>
      <c r="E76" s="133">
        <v>12</v>
      </c>
      <c r="J76" s="52"/>
    </row>
    <row r="77" spans="1:11">
      <c r="J77" s="29"/>
    </row>
    <row r="78" spans="1:11" ht="27">
      <c r="C78" s="126" t="s">
        <v>645</v>
      </c>
      <c r="D78" s="70" t="s">
        <v>707</v>
      </c>
      <c r="E78" s="128" t="s">
        <v>727</v>
      </c>
      <c r="F78" s="69" t="s">
        <v>647</v>
      </c>
      <c r="G78" s="129" t="s">
        <v>708</v>
      </c>
      <c r="H78" s="70" t="s">
        <v>671</v>
      </c>
      <c r="I78" s="128" t="s">
        <v>649</v>
      </c>
      <c r="J78" s="70" t="s">
        <v>650</v>
      </c>
      <c r="K78" s="127" t="s">
        <v>651</v>
      </c>
    </row>
    <row r="79" spans="1:11">
      <c r="A79" s="102" t="s">
        <v>597</v>
      </c>
      <c r="B79" s="112"/>
      <c r="C79" s="62">
        <v>0</v>
      </c>
      <c r="D79" s="62">
        <f t="shared" ref="D79:E82" si="1">D69</f>
        <v>9</v>
      </c>
      <c r="E79" s="62">
        <f t="shared" si="1"/>
        <v>11.84375</v>
      </c>
      <c r="F79" s="62">
        <f>E79-$E$14-$J$56/2</f>
        <v>10.09375</v>
      </c>
      <c r="G79" s="62">
        <v>12</v>
      </c>
      <c r="H79" s="62">
        <f>0.85*$E$12*G79</f>
        <v>45.9</v>
      </c>
      <c r="I79" s="62">
        <f>C79*$E$13/H79</f>
        <v>0</v>
      </c>
      <c r="J79" s="62">
        <f>$E$15*C79*$E$13*(F79-0.5*I79)/12</f>
        <v>0</v>
      </c>
      <c r="K79" s="62">
        <f>J79*D79/$E$11</f>
        <v>0</v>
      </c>
    </row>
    <row r="80" spans="1:11">
      <c r="A80" s="102" t="s">
        <v>598</v>
      </c>
      <c r="B80" s="112"/>
      <c r="C80" s="62">
        <v>0</v>
      </c>
      <c r="D80" s="62">
        <f t="shared" si="1"/>
        <v>19</v>
      </c>
      <c r="E80" s="62">
        <f t="shared" si="1"/>
        <v>8</v>
      </c>
      <c r="F80" s="62">
        <f>E80-$E$14-$J$56/2</f>
        <v>6.25</v>
      </c>
      <c r="G80" s="62">
        <v>12</v>
      </c>
      <c r="H80" s="62">
        <f>0.85*$E$12*G80</f>
        <v>45.9</v>
      </c>
      <c r="I80" s="62">
        <f>C80*$E$13/H80</f>
        <v>0</v>
      </c>
      <c r="J80" s="62">
        <f>$E$15*C80*$E$13*(F80-0.5*I80)/12</f>
        <v>0</v>
      </c>
      <c r="K80" s="62">
        <f>J80*D80/$E$11</f>
        <v>0</v>
      </c>
    </row>
    <row r="81" spans="1:11">
      <c r="A81" s="102" t="s">
        <v>599</v>
      </c>
      <c r="B81" s="112"/>
      <c r="C81" s="62">
        <f>12*($J$57/$E$76)</f>
        <v>0.2</v>
      </c>
      <c r="D81" s="62">
        <f t="shared" si="1"/>
        <v>13</v>
      </c>
      <c r="E81" s="62">
        <f t="shared" si="1"/>
        <v>12.8125</v>
      </c>
      <c r="F81" s="62">
        <f>E81-$E$14-$J$56/2</f>
        <v>11.0625</v>
      </c>
      <c r="G81" s="62">
        <v>12</v>
      </c>
      <c r="H81" s="62">
        <f>0.85*$E$12*G81</f>
        <v>45.9</v>
      </c>
      <c r="I81" s="62">
        <f>C81*$E$13/H81</f>
        <v>0.32679738562091504</v>
      </c>
      <c r="J81" s="62">
        <f>$E$15*C81*$E$13*(F81-0.5*I81)/12</f>
        <v>13.62387663398693</v>
      </c>
      <c r="K81" s="62">
        <f>J81*D81/$E$11</f>
        <v>4.1188464242286065</v>
      </c>
    </row>
    <row r="82" spans="1:11">
      <c r="A82" s="102" t="s">
        <v>726</v>
      </c>
      <c r="B82" s="112"/>
      <c r="C82" s="62">
        <f>12*($J$57/$E$76)</f>
        <v>0.2</v>
      </c>
      <c r="D82" s="62">
        <f t="shared" si="1"/>
        <v>2</v>
      </c>
      <c r="E82" s="62">
        <f t="shared" si="1"/>
        <v>17.8125</v>
      </c>
      <c r="F82" s="62">
        <f>E82-$E$14-$J$56/2</f>
        <v>16.0625</v>
      </c>
      <c r="G82" s="62">
        <v>12</v>
      </c>
      <c r="H82" s="62">
        <f>0.85*$E$12*G82</f>
        <v>45.9</v>
      </c>
      <c r="I82" s="62">
        <f>C82*$E$13/H82</f>
        <v>0.32679738562091504</v>
      </c>
      <c r="J82" s="62">
        <f>$E$15*C82*$E$13*(F82-0.5*I82)/12</f>
        <v>19.873876633986928</v>
      </c>
      <c r="K82" s="62">
        <f>J82*D82/$E$11</f>
        <v>0.92436635506915943</v>
      </c>
    </row>
    <row r="83" spans="1:11" ht="13.5">
      <c r="A83" s="124"/>
      <c r="B83" s="5"/>
      <c r="J83" s="4" t="s">
        <v>734</v>
      </c>
      <c r="K83" s="123">
        <f>SUM(K79:K82)</f>
        <v>5.0432127792977663</v>
      </c>
    </row>
    <row r="85" spans="1:11" ht="13.5">
      <c r="J85" s="4" t="s">
        <v>735</v>
      </c>
      <c r="K85" s="62">
        <f>K63+K73+K83</f>
        <v>22.649666024894024</v>
      </c>
    </row>
    <row r="89" spans="1:11" ht="15">
      <c r="A89" s="50" t="s">
        <v>672</v>
      </c>
    </row>
    <row r="90" spans="1:11">
      <c r="A90" s="50"/>
    </row>
    <row r="91" spans="1:11">
      <c r="A91" s="2" t="s">
        <v>709</v>
      </c>
      <c r="F91" s="135">
        <v>4</v>
      </c>
      <c r="H91" s="2" t="s">
        <v>108</v>
      </c>
      <c r="J91" s="29">
        <f>LOOKUP(F91,$N$4:$N$15,$P$4:$P$15)</f>
        <v>0.5</v>
      </c>
      <c r="K91" s="2" t="s">
        <v>52</v>
      </c>
    </row>
    <row r="92" spans="1:11" ht="13.5">
      <c r="H92" s="2" t="s">
        <v>110</v>
      </c>
      <c r="J92" s="29">
        <f>LOOKUP(F91,$N$4:$N$15,$O$4:$O$15)</f>
        <v>0.2</v>
      </c>
      <c r="K92" s="2" t="s">
        <v>436</v>
      </c>
    </row>
    <row r="93" spans="1:11" ht="27">
      <c r="C93" s="70" t="s">
        <v>608</v>
      </c>
      <c r="D93" s="67" t="s">
        <v>645</v>
      </c>
      <c r="E93" s="70" t="s">
        <v>707</v>
      </c>
      <c r="F93" s="128" t="s">
        <v>727</v>
      </c>
      <c r="G93" s="70" t="s">
        <v>647</v>
      </c>
      <c r="H93" s="67" t="s">
        <v>648</v>
      </c>
      <c r="I93" s="68" t="s">
        <v>720</v>
      </c>
      <c r="J93" s="68" t="s">
        <v>649</v>
      </c>
      <c r="K93" s="68" t="s">
        <v>656</v>
      </c>
    </row>
    <row r="94" spans="1:11">
      <c r="A94" s="102" t="s">
        <v>597</v>
      </c>
      <c r="B94" s="112"/>
      <c r="C94" s="134">
        <v>2</v>
      </c>
      <c r="D94" s="62">
        <f>$J$92*C94</f>
        <v>0.4</v>
      </c>
      <c r="E94" s="62">
        <f>D79</f>
        <v>9</v>
      </c>
      <c r="F94" s="62">
        <f>E79</f>
        <v>11.84375</v>
      </c>
      <c r="G94" s="62">
        <f>F94-$E$14-$J$56-0.5*$J$91</f>
        <v>9.59375</v>
      </c>
      <c r="H94" s="62">
        <f>E94</f>
        <v>9</v>
      </c>
      <c r="I94" s="62">
        <f>0.85*$E$12*H94</f>
        <v>34.424999999999997</v>
      </c>
      <c r="J94" s="62">
        <f>D94*$E$13/I94</f>
        <v>0.8714596949891068</v>
      </c>
      <c r="K94" s="62">
        <f>$E$15*D94*$E$13*(G94-0.5*J94)/12</f>
        <v>22.895050381263616</v>
      </c>
    </row>
    <row r="95" spans="1:11">
      <c r="A95" s="102" t="s">
        <v>598</v>
      </c>
      <c r="B95" s="112"/>
      <c r="C95" s="134">
        <v>1</v>
      </c>
      <c r="D95" s="62">
        <f>$J$92*C95</f>
        <v>0.2</v>
      </c>
      <c r="E95" s="62">
        <f>D80</f>
        <v>19</v>
      </c>
      <c r="F95" s="62">
        <f>E80</f>
        <v>8</v>
      </c>
      <c r="G95" s="62">
        <f>F95-$E$14-$J$56-0.5*$J$91</f>
        <v>5.75</v>
      </c>
      <c r="H95" s="62">
        <f>E95</f>
        <v>19</v>
      </c>
      <c r="I95" s="62">
        <f>0.85*$E$12*H95</f>
        <v>72.674999999999997</v>
      </c>
      <c r="J95" s="62">
        <f>D95*$E$13/I95</f>
        <v>0.20639834881320951</v>
      </c>
      <c r="K95" s="62">
        <f>$E$15*D95*$E$13*(G95-0.5*J95)/12</f>
        <v>7.0585010319917432</v>
      </c>
    </row>
    <row r="96" spans="1:11">
      <c r="A96" s="102" t="s">
        <v>599</v>
      </c>
      <c r="B96" s="112"/>
      <c r="C96" s="134">
        <v>1</v>
      </c>
      <c r="D96" s="62">
        <f>$J$92*C96</f>
        <v>0.2</v>
      </c>
      <c r="E96" s="62">
        <f>D81</f>
        <v>13</v>
      </c>
      <c r="F96" s="62">
        <v>9.625</v>
      </c>
      <c r="G96" s="62">
        <f>F96-$E$14-$J$56-0.5*$J$91</f>
        <v>7.375</v>
      </c>
      <c r="H96" s="62">
        <f>E96</f>
        <v>13</v>
      </c>
      <c r="I96" s="62">
        <f>0.85*$E$12*H96</f>
        <v>49.724999999999994</v>
      </c>
      <c r="J96" s="62">
        <f>D96*$E$13/I96</f>
        <v>0.30165912518853699</v>
      </c>
      <c r="K96" s="62">
        <f>$E$15*D96*$E$13*(G96-0.5*J96)/12</f>
        <v>9.0302130467571633</v>
      </c>
    </row>
    <row r="97" spans="1:20">
      <c r="A97" s="102" t="s">
        <v>726</v>
      </c>
      <c r="B97" s="112"/>
      <c r="C97" s="134">
        <v>0</v>
      </c>
      <c r="D97" s="62">
        <f>$J$92*C97</f>
        <v>0</v>
      </c>
      <c r="E97" s="62">
        <f>D82</f>
        <v>2</v>
      </c>
      <c r="F97" s="62">
        <f>E82</f>
        <v>17.8125</v>
      </c>
      <c r="G97" s="62">
        <f>F97-$E$14-$J$56-0.5*$J$91</f>
        <v>15.5625</v>
      </c>
      <c r="H97" s="62">
        <f>E97</f>
        <v>2</v>
      </c>
      <c r="I97" s="62">
        <f>0.85*$E$12*H97</f>
        <v>7.6499999999999995</v>
      </c>
      <c r="J97" s="62">
        <f>D97*$E$13/I97</f>
        <v>0</v>
      </c>
      <c r="K97" s="62">
        <f>$E$15*D97*$E$13*(G97-0.5*J97)/12</f>
        <v>0</v>
      </c>
    </row>
    <row r="98" spans="1:20" ht="13.5">
      <c r="E98" s="8"/>
      <c r="F98" s="8"/>
      <c r="J98" s="4" t="s">
        <v>657</v>
      </c>
      <c r="K98" s="123">
        <f>SUM(K94:K97)</f>
        <v>38.983764460012523</v>
      </c>
    </row>
    <row r="100" spans="1:20">
      <c r="L100" s="130"/>
      <c r="M100" s="130"/>
      <c r="N100" s="130"/>
      <c r="O100" s="130"/>
      <c r="P100" s="130"/>
      <c r="Q100" s="130"/>
      <c r="R100" s="130"/>
      <c r="S100" s="130"/>
      <c r="T100" s="130"/>
    </row>
    <row r="101" spans="1:20">
      <c r="A101" s="50" t="s">
        <v>609</v>
      </c>
      <c r="L101" s="130"/>
      <c r="M101" s="130"/>
      <c r="N101" s="130"/>
      <c r="O101" s="130"/>
      <c r="P101" s="130"/>
      <c r="Q101" s="130"/>
      <c r="R101" s="130"/>
      <c r="S101" s="130"/>
      <c r="T101" s="130"/>
    </row>
    <row r="103" spans="1:20">
      <c r="K103" s="4" t="s">
        <v>123</v>
      </c>
    </row>
    <row r="104" spans="1:20">
      <c r="K104" s="4"/>
    </row>
    <row r="105" spans="1:20">
      <c r="K105" s="4"/>
    </row>
    <row r="106" spans="1:20">
      <c r="K106" s="4" t="s">
        <v>610</v>
      </c>
    </row>
    <row r="109" spans="1:20" ht="13.5" customHeight="1">
      <c r="A109" s="2" t="s">
        <v>611</v>
      </c>
      <c r="F109" s="4" t="s">
        <v>658</v>
      </c>
      <c r="G109" s="29">
        <v>0</v>
      </c>
      <c r="H109" s="2" t="s">
        <v>117</v>
      </c>
    </row>
    <row r="110" spans="1:20" ht="13.5">
      <c r="A110" s="2" t="s">
        <v>255</v>
      </c>
      <c r="F110" s="4" t="s">
        <v>542</v>
      </c>
      <c r="G110" s="29">
        <f>$E$18/2+SQRT(($E$18/2)^2+8*($E$11/12)*($G$109+$K$98)/$K$85)</f>
        <v>9.9558703467669236</v>
      </c>
      <c r="H110" s="2" t="s">
        <v>66</v>
      </c>
      <c r="L110" s="130"/>
      <c r="M110" s="130"/>
      <c r="N110" s="130"/>
      <c r="O110" s="130"/>
      <c r="P110" s="130"/>
      <c r="Q110" s="130"/>
      <c r="R110" s="130"/>
      <c r="S110" s="130"/>
      <c r="T110" s="130"/>
    </row>
    <row r="111" spans="1:20" ht="13.5">
      <c r="A111" s="2" t="s">
        <v>612</v>
      </c>
      <c r="F111" s="4" t="s">
        <v>659</v>
      </c>
      <c r="G111" s="29">
        <f>(2/(2*G110-$E$18))*(8*$G$109+8*$K$98+$K$85*G110^2/($E$11/12))</f>
        <v>125.85886791148839</v>
      </c>
      <c r="H111" s="2" t="s">
        <v>64</v>
      </c>
      <c r="L111" s="130"/>
      <c r="M111" s="130"/>
      <c r="N111" s="130"/>
      <c r="O111" s="130"/>
      <c r="P111" s="130"/>
      <c r="Q111" s="130"/>
      <c r="R111" s="130"/>
      <c r="S111" s="130"/>
      <c r="T111" s="130"/>
    </row>
    <row r="113" spans="1:12" ht="13.5">
      <c r="A113" s="51" t="s">
        <v>613</v>
      </c>
      <c r="E113" s="4" t="s">
        <v>660</v>
      </c>
      <c r="F113" s="29">
        <f>G111</f>
        <v>125.85886791148839</v>
      </c>
      <c r="G113" s="9" t="str">
        <f>IF(F113&gt;H113,"&gt;","&lt;")</f>
        <v>&gt;</v>
      </c>
      <c r="H113" s="29">
        <f>$E$17</f>
        <v>80</v>
      </c>
      <c r="J113" s="87" t="str">
        <f>IF(F113&gt;H113,"OK","FAILS")</f>
        <v>OK</v>
      </c>
      <c r="L113" s="122"/>
    </row>
    <row r="114" spans="1:12">
      <c r="A114" s="51"/>
      <c r="E114" s="4"/>
      <c r="F114" s="29"/>
      <c r="G114" s="9"/>
      <c r="H114" s="29"/>
      <c r="L114" s="122"/>
    </row>
    <row r="116" spans="1:12" ht="12.75">
      <c r="A116" s="1" t="s">
        <v>614</v>
      </c>
      <c r="K116" s="4" t="s">
        <v>615</v>
      </c>
    </row>
    <row r="117" spans="1:12">
      <c r="A117" s="156" t="s">
        <v>661</v>
      </c>
      <c r="B117" s="157"/>
      <c r="C117" s="157"/>
      <c r="D117" s="157"/>
      <c r="E117" s="157"/>
      <c r="F117" s="157"/>
      <c r="G117" s="157"/>
      <c r="H117" s="157"/>
      <c r="I117" s="157"/>
      <c r="J117" s="157"/>
      <c r="K117" s="157"/>
    </row>
    <row r="118" spans="1:12">
      <c r="A118" s="157"/>
      <c r="B118" s="157"/>
      <c r="C118" s="157"/>
      <c r="D118" s="157"/>
      <c r="E118" s="157"/>
      <c r="F118" s="157"/>
      <c r="G118" s="157"/>
      <c r="H118" s="157"/>
      <c r="I118" s="157"/>
      <c r="J118" s="157"/>
      <c r="K118" s="157"/>
    </row>
    <row r="120" spans="1:12" ht="13.5">
      <c r="A120" s="2" t="s">
        <v>616</v>
      </c>
      <c r="I120" s="9" t="s">
        <v>662</v>
      </c>
      <c r="J120" s="110">
        <f>6+11+1</f>
        <v>18</v>
      </c>
      <c r="K120" s="2" t="s">
        <v>52</v>
      </c>
    </row>
    <row r="121" spans="1:12" ht="13.5">
      <c r="A121" s="2" t="s">
        <v>617</v>
      </c>
      <c r="I121" s="9" t="s">
        <v>551</v>
      </c>
      <c r="J121" s="110">
        <v>12</v>
      </c>
      <c r="K121" s="2" t="s">
        <v>52</v>
      </c>
    </row>
    <row r="122" spans="1:12">
      <c r="I122" s="9"/>
      <c r="J122" s="32"/>
    </row>
    <row r="123" spans="1:12" ht="13.5">
      <c r="A123" s="2" t="s">
        <v>618</v>
      </c>
      <c r="I123" s="4" t="s">
        <v>663</v>
      </c>
      <c r="J123" s="29">
        <f>J120*J121</f>
        <v>216</v>
      </c>
      <c r="K123" s="92" t="s">
        <v>673</v>
      </c>
    </row>
    <row r="125" spans="1:12">
      <c r="A125" s="2" t="s">
        <v>619</v>
      </c>
      <c r="E125" s="132">
        <v>4</v>
      </c>
      <c r="F125" s="133">
        <v>12</v>
      </c>
      <c r="I125" s="2" t="s">
        <v>110</v>
      </c>
      <c r="J125" s="9">
        <f>LOOKUP(E125,$N$4:$N$15,$O$4:$O$15)</f>
        <v>0.2</v>
      </c>
      <c r="K125" s="92" t="s">
        <v>673</v>
      </c>
    </row>
    <row r="126" spans="1:12">
      <c r="E126" s="41"/>
      <c r="F126" s="100"/>
      <c r="J126" s="9"/>
      <c r="K126" s="92"/>
    </row>
    <row r="127" spans="1:12" ht="13.5">
      <c r="A127" s="2" t="s">
        <v>620</v>
      </c>
      <c r="E127" s="2" t="s">
        <v>664</v>
      </c>
      <c r="H127" s="4" t="str">
        <f>"12 in. * "&amp;TEXT(J125,"0.00")&amp;" in. / "&amp;TEXT(F125,"0")&amp;" in. ="</f>
        <v>12 in. * 0.20 in. / 12 in. =</v>
      </c>
      <c r="I127" s="2">
        <f>J125*12/F125</f>
        <v>0.20000000000000004</v>
      </c>
      <c r="J127" s="94" t="s">
        <v>674</v>
      </c>
    </row>
    <row r="128" spans="1:12" ht="32.1" customHeight="1">
      <c r="G128" s="95">
        <f>0.05*J123/E13</f>
        <v>0.14400000000000002</v>
      </c>
      <c r="H128" s="153" t="str">
        <f>IF(I127&gt;G128,"OK","FAILS")</f>
        <v>OK</v>
      </c>
      <c r="I128" s="11"/>
      <c r="J128" s="11"/>
      <c r="K128" s="25" t="s">
        <v>621</v>
      </c>
      <c r="L128" s="11"/>
    </row>
    <row r="129" spans="1:12">
      <c r="G129" s="95"/>
      <c r="H129" s="95"/>
      <c r="I129" s="11"/>
      <c r="J129" s="11"/>
      <c r="K129" s="25"/>
      <c r="L129" s="11"/>
    </row>
    <row r="130" spans="1:12">
      <c r="A130" s="2" t="s">
        <v>622</v>
      </c>
      <c r="I130" s="2" t="s">
        <v>623</v>
      </c>
      <c r="J130" s="110">
        <v>0</v>
      </c>
      <c r="K130" s="2" t="s">
        <v>122</v>
      </c>
    </row>
    <row r="132" spans="1:12">
      <c r="A132" s="2" t="s">
        <v>624</v>
      </c>
    </row>
    <row r="134" spans="1:12">
      <c r="A134" s="2" t="s">
        <v>625</v>
      </c>
      <c r="C134" s="4" t="s">
        <v>54</v>
      </c>
      <c r="D134" s="131">
        <v>7.4999999999999997E-2</v>
      </c>
      <c r="E134" s="2" t="s">
        <v>32</v>
      </c>
      <c r="K134" s="4" t="s">
        <v>626</v>
      </c>
    </row>
    <row r="135" spans="1:12">
      <c r="A135" s="2" t="s">
        <v>627</v>
      </c>
      <c r="C135" s="4" t="s">
        <v>641</v>
      </c>
      <c r="D135" s="131">
        <v>0.6</v>
      </c>
      <c r="K135" s="4"/>
    </row>
    <row r="136" spans="1:12" ht="13.5">
      <c r="A136" s="2" t="s">
        <v>628</v>
      </c>
      <c r="C136" s="4" t="s">
        <v>665</v>
      </c>
      <c r="D136" s="131">
        <v>0.2</v>
      </c>
      <c r="E136" s="2" t="s">
        <v>629</v>
      </c>
      <c r="K136" s="4"/>
    </row>
    <row r="137" spans="1:12" ht="13.5">
      <c r="A137" s="2" t="s">
        <v>630</v>
      </c>
      <c r="C137" s="4" t="s">
        <v>666</v>
      </c>
      <c r="D137" s="131">
        <v>0.8</v>
      </c>
      <c r="E137" s="2" t="s">
        <v>631</v>
      </c>
      <c r="K137" s="4"/>
    </row>
    <row r="138" spans="1:12">
      <c r="K138" s="4"/>
    </row>
    <row r="139" spans="1:12">
      <c r="D139" s="176" t="str">
        <f>TEXT(D136,"0.00")&amp;" * "&amp;TEXT(E12,"0.00")&amp;" ksi * "&amp;TEXT(J123,"0.0")&amp;" in. ="</f>
        <v>0.20 * 4.50 ksi * 216.0 in. =</v>
      </c>
      <c r="E139" s="176"/>
      <c r="F139" s="176"/>
      <c r="G139" s="2">
        <f>D136*$E$12*J123</f>
        <v>194.4</v>
      </c>
      <c r="H139" s="2" t="s">
        <v>632</v>
      </c>
      <c r="I139" s="2" t="str">
        <f>IF(G139=MIN(G139,G140,J141),"←controls","")</f>
        <v/>
      </c>
      <c r="K139" s="4" t="s">
        <v>633</v>
      </c>
    </row>
    <row r="140" spans="1:12" ht="13.5">
      <c r="A140" s="2" t="s">
        <v>667</v>
      </c>
      <c r="D140" s="176" t="str">
        <f>TEXT(D137,"0.00")&amp;" * "&amp;TEXT(J123,"0.0")&amp;" in. ="</f>
        <v>0.80 * 216.0 in. =</v>
      </c>
      <c r="E140" s="176"/>
      <c r="F140" s="176"/>
      <c r="G140" s="2">
        <f>D137*J123</f>
        <v>172.8</v>
      </c>
      <c r="H140" s="2" t="s">
        <v>632</v>
      </c>
      <c r="I140" s="2" t="str">
        <f>IF(G140=MIN(G139,G140,J141),"←controls","")</f>
        <v/>
      </c>
    </row>
    <row r="141" spans="1:12">
      <c r="E141" s="176" t="str">
        <f>TEXT(D134,"0.000")&amp;" ksi*"&amp;TEXT(J123,"0")&amp;"in.+"&amp;TEXT(D135,"0.00")&amp;"("&amp;TEXT(I127,"0.00")&amp;" in.* "&amp;TEXT(E13,"0")&amp;" ksi+"&amp;TEXT(J130,"0")&amp;"kip) ="</f>
        <v>0.075 ksi*216in.+0.60(0.20 in.* 75 ksi+0kip) =</v>
      </c>
      <c r="F141" s="176"/>
      <c r="G141" s="176"/>
      <c r="H141" s="176"/>
      <c r="I141" s="176"/>
      <c r="J141" s="8">
        <f>D134*J123+D135*(I127*E13+J130)</f>
        <v>25.200000000000003</v>
      </c>
      <c r="K141" s="2" t="s">
        <v>632</v>
      </c>
    </row>
    <row r="144" spans="1:12">
      <c r="A144" s="2" t="s">
        <v>585</v>
      </c>
      <c r="D144" s="4" t="s">
        <v>642</v>
      </c>
      <c r="E144" s="29">
        <f>E15</f>
        <v>1</v>
      </c>
      <c r="F144" s="2" t="s">
        <v>55</v>
      </c>
      <c r="K144" s="4" t="s">
        <v>56</v>
      </c>
    </row>
    <row r="145" spans="1:11">
      <c r="A145" s="2" t="s">
        <v>634</v>
      </c>
      <c r="D145" s="4" t="s">
        <v>643</v>
      </c>
      <c r="E145" s="29">
        <f>MIN(G139:G140,J141)*E144</f>
        <v>25.200000000000003</v>
      </c>
      <c r="F145" s="2" t="s">
        <v>122</v>
      </c>
    </row>
    <row r="146" spans="1:11">
      <c r="A146" s="2" t="s">
        <v>635</v>
      </c>
      <c r="I146" s="8">
        <f>G111/G110</f>
        <v>12.641674060405968</v>
      </c>
      <c r="J146" s="2" t="s">
        <v>125</v>
      </c>
    </row>
    <row r="148" spans="1:11">
      <c r="H148" s="8"/>
    </row>
    <row r="149" spans="1:11" ht="13.5">
      <c r="A149" s="2" t="s">
        <v>613</v>
      </c>
      <c r="E149" s="4" t="s">
        <v>668</v>
      </c>
      <c r="F149" s="29">
        <f>E145</f>
        <v>25.200000000000003</v>
      </c>
      <c r="G149" s="9" t="str">
        <f>IF(F149&gt;H149,"&gt;",IF(F149&lt;H149,"&lt;","="))</f>
        <v>&gt;</v>
      </c>
      <c r="H149" s="29">
        <f>I146</f>
        <v>12.641674060405968</v>
      </c>
      <c r="J149" s="64" t="str">
        <f>IF(F149&gt;H149,"OK","FAILS")</f>
        <v>OK</v>
      </c>
    </row>
    <row r="151" spans="1:11" ht="12.75">
      <c r="A151" s="1" t="s">
        <v>636</v>
      </c>
    </row>
    <row r="152" spans="1:11">
      <c r="A152" s="156" t="s">
        <v>765</v>
      </c>
      <c r="B152" s="157"/>
      <c r="C152" s="157"/>
      <c r="D152" s="157"/>
      <c r="E152" s="157"/>
      <c r="F152" s="157"/>
      <c r="G152" s="157"/>
      <c r="H152" s="157"/>
      <c r="I152" s="157"/>
      <c r="J152" s="157"/>
      <c r="K152" s="157"/>
    </row>
    <row r="153" spans="1:11">
      <c r="A153" s="157"/>
      <c r="B153" s="157"/>
      <c r="C153" s="157"/>
      <c r="D153" s="157"/>
      <c r="E153" s="157"/>
      <c r="F153" s="157"/>
      <c r="G153" s="157"/>
      <c r="H153" s="157"/>
      <c r="I153" s="157"/>
      <c r="J153" s="157"/>
      <c r="K153" s="157"/>
    </row>
    <row r="155" spans="1:11" ht="13.5">
      <c r="A155" s="2" t="s">
        <v>669</v>
      </c>
      <c r="K155" s="4" t="s">
        <v>638</v>
      </c>
    </row>
    <row r="156" spans="1:11" ht="12.75" thickBot="1"/>
    <row r="157" spans="1:11" ht="13.5">
      <c r="A157" s="56" t="s">
        <v>639</v>
      </c>
      <c r="B157" s="37"/>
      <c r="C157" s="37"/>
      <c r="D157" s="37"/>
      <c r="E157" s="37"/>
      <c r="F157" s="96" t="s">
        <v>507</v>
      </c>
      <c r="G157" s="97">
        <f>G111/(G110+2*$E$11/12)</f>
        <v>7.3504801194323628</v>
      </c>
      <c r="H157" s="38" t="s">
        <v>125</v>
      </c>
    </row>
    <row r="158" spans="1:11" ht="14.25" thickBot="1">
      <c r="A158" s="42" t="s">
        <v>640</v>
      </c>
      <c r="B158" s="43"/>
      <c r="C158" s="43"/>
      <c r="D158" s="43"/>
      <c r="E158" s="43"/>
      <c r="F158" s="98" t="s">
        <v>675</v>
      </c>
      <c r="G158" s="99">
        <f>K85</f>
        <v>22.649666024894024</v>
      </c>
      <c r="H158" s="61" t="s">
        <v>119</v>
      </c>
    </row>
    <row r="161" spans="1:1">
      <c r="A161" s="87"/>
    </row>
  </sheetData>
  <mergeCells count="7">
    <mergeCell ref="A152:K153"/>
    <mergeCell ref="A4:K10"/>
    <mergeCell ref="A21:K22"/>
    <mergeCell ref="A117:K118"/>
    <mergeCell ref="D139:F139"/>
    <mergeCell ref="D140:F140"/>
    <mergeCell ref="E141:I141"/>
  </mergeCells>
  <phoneticPr fontId="26" type="noConversion"/>
  <conditionalFormatting sqref="A42:A57 H43:H45 D44:G45 A46:M57">
    <cfRule type="cellIs" dxfId="308" priority="114" operator="equal">
      <formula>"ok"</formula>
    </cfRule>
  </conditionalFormatting>
  <conditionalFormatting sqref="A42:A57 H43:H45 D44:G45 B46:H57">
    <cfRule type="containsText" dxfId="307" priority="112" operator="containsText" text="figure">
      <formula>NOT(ISERROR(SEARCH("figure",A42)))</formula>
    </cfRule>
    <cfRule type="cellIs" dxfId="306" priority="113" operator="equal">
      <formula>"fails"</formula>
    </cfRule>
  </conditionalFormatting>
  <conditionalFormatting sqref="A89:A91 E91:H91 A99:K100">
    <cfRule type="cellIs" dxfId="305" priority="66" operator="equal">
      <formula>"ok"</formula>
    </cfRule>
  </conditionalFormatting>
  <conditionalFormatting sqref="A89:A91 E91:H91 K91 A99:K100">
    <cfRule type="cellIs" dxfId="304" priority="65" operator="equal">
      <formula>"fails"</formula>
    </cfRule>
  </conditionalFormatting>
  <conditionalFormatting sqref="A160:E160">
    <cfRule type="containsText" dxfId="303" priority="184" operator="containsText" text="figure">
      <formula>NOT(ISERROR(SEARCH("figure",A160)))</formula>
    </cfRule>
    <cfRule type="cellIs" dxfId="302" priority="185" operator="equal">
      <formula>"fails"</formula>
    </cfRule>
    <cfRule type="cellIs" dxfId="301" priority="186" operator="equal">
      <formula>"ok"</formula>
    </cfRule>
  </conditionalFormatting>
  <conditionalFormatting sqref="A66:H67">
    <cfRule type="containsText" dxfId="300" priority="22" operator="containsText" text="figure">
      <formula>NOT(ISERROR(SEARCH("figure",A66)))</formula>
    </cfRule>
    <cfRule type="cellIs" dxfId="299" priority="23" operator="equal">
      <formula>"fails"</formula>
    </cfRule>
  </conditionalFormatting>
  <conditionalFormatting sqref="A76:H77">
    <cfRule type="containsText" dxfId="298" priority="16" operator="containsText" text="figure">
      <formula>NOT(ISERROR(SEARCH("figure",A76)))</formula>
    </cfRule>
    <cfRule type="cellIs" dxfId="297" priority="17" operator="equal">
      <formula>"fails"</formula>
    </cfRule>
  </conditionalFormatting>
  <conditionalFormatting sqref="A66:K67 B68 C68:K72 A73:B74 F73:H74 J73:K74">
    <cfRule type="containsText" dxfId="296" priority="25" operator="containsText" text="figure">
      <formula>NOT(ISERROR(SEARCH("figure",A66)))</formula>
    </cfRule>
    <cfRule type="cellIs" dxfId="295" priority="26" operator="equal">
      <formula>"fails"</formula>
    </cfRule>
  </conditionalFormatting>
  <conditionalFormatting sqref="A66:K67">
    <cfRule type="cellIs" dxfId="294" priority="24" operator="equal">
      <formula>"ok"</formula>
    </cfRule>
  </conditionalFormatting>
  <conditionalFormatting sqref="A76:K77 B78 C78:K82 A83:B83 F83:H83 J83:K83">
    <cfRule type="containsText" dxfId="293" priority="19" operator="containsText" text="figure">
      <formula>NOT(ISERROR(SEARCH("figure",A76)))</formula>
    </cfRule>
    <cfRule type="cellIs" dxfId="292" priority="20" operator="equal">
      <formula>"fails"</formula>
    </cfRule>
  </conditionalFormatting>
  <conditionalFormatting sqref="A76:K77">
    <cfRule type="cellIs" dxfId="291" priority="18" operator="equal">
      <formula>"ok"</formula>
    </cfRule>
  </conditionalFormatting>
  <conditionalFormatting sqref="A151:XFD151">
    <cfRule type="containsText" dxfId="290" priority="133" operator="containsText" text="figure">
      <formula>NOT(ISERROR(SEARCH("figure",A151)))</formula>
    </cfRule>
    <cfRule type="cellIs" dxfId="289" priority="134" operator="equal">
      <formula>"fails"</formula>
    </cfRule>
    <cfRule type="cellIs" dxfId="288" priority="135" operator="equal">
      <formula>"ok"</formula>
    </cfRule>
  </conditionalFormatting>
  <conditionalFormatting sqref="B68 C68:K72 A73:B74 F73:H74 J73:K74">
    <cfRule type="cellIs" dxfId="287" priority="27" operator="equal">
      <formula>"ok"</formula>
    </cfRule>
  </conditionalFormatting>
  <conditionalFormatting sqref="B78 C78:K82 A83:B83 F83:H83 J83:K83">
    <cfRule type="cellIs" dxfId="286" priority="21" operator="equal">
      <formula>"ok"</formula>
    </cfRule>
  </conditionalFormatting>
  <conditionalFormatting sqref="B93:C93">
    <cfRule type="containsText" dxfId="285" priority="40" operator="containsText" text="figure">
      <formula>NOT(ISERROR(SEARCH("figure",B93)))</formula>
    </cfRule>
    <cfRule type="cellIs" dxfId="284" priority="41" operator="equal">
      <formula>"fails"</formula>
    </cfRule>
    <cfRule type="cellIs" dxfId="283" priority="42" operator="equal">
      <formula>"ok"</formula>
    </cfRule>
  </conditionalFormatting>
  <conditionalFormatting sqref="B132:C133">
    <cfRule type="containsText" dxfId="282" priority="187" operator="containsText" text="figure">
      <formula>NOT(ISERROR(SEARCH("figure",B132)))</formula>
    </cfRule>
    <cfRule type="cellIs" dxfId="281" priority="188" operator="equal">
      <formula>"fails"</formula>
    </cfRule>
    <cfRule type="cellIs" dxfId="280" priority="189" operator="equal">
      <formula>"ok"</formula>
    </cfRule>
  </conditionalFormatting>
  <conditionalFormatting sqref="D92:D97">
    <cfRule type="containsText" dxfId="279" priority="55" operator="containsText" text="figure">
      <formula>NOT(ISERROR(SEARCH("figure",D92)))</formula>
    </cfRule>
    <cfRule type="cellIs" dxfId="278" priority="56" operator="equal">
      <formula>"fails"</formula>
    </cfRule>
    <cfRule type="cellIs" dxfId="277" priority="57" operator="equal">
      <formula>"ok"</formula>
    </cfRule>
  </conditionalFormatting>
  <conditionalFormatting sqref="E91:H91 K91 A89:A91 A99:K100">
    <cfRule type="containsText" dxfId="276" priority="64" operator="containsText" text="figure">
      <formula>NOT(ISERROR(SEARCH("figure",A89)))</formula>
    </cfRule>
  </conditionalFormatting>
  <conditionalFormatting sqref="E94:H97">
    <cfRule type="containsText" dxfId="275" priority="49" operator="containsText" text="figure">
      <formula>NOT(ISERROR(SEARCH("figure",E94)))</formula>
    </cfRule>
    <cfRule type="cellIs" dxfId="274" priority="50" operator="equal">
      <formula>"fails"</formula>
    </cfRule>
    <cfRule type="cellIs" dxfId="273" priority="51" operator="equal">
      <formula>"ok"</formula>
    </cfRule>
  </conditionalFormatting>
  <conditionalFormatting sqref="E149:H150">
    <cfRule type="containsText" dxfId="272" priority="154" operator="containsText" text="figure">
      <formula>NOT(ISERROR(SEARCH("figure",E149)))</formula>
    </cfRule>
    <cfRule type="cellIs" dxfId="271" priority="155" operator="equal">
      <formula>"fails"</formula>
    </cfRule>
    <cfRule type="cellIs" dxfId="270" priority="156" operator="equal">
      <formula>"ok"</formula>
    </cfRule>
  </conditionalFormatting>
  <conditionalFormatting sqref="E93:K93">
    <cfRule type="containsText" dxfId="269" priority="7" operator="containsText" text="figure">
      <formula>NOT(ISERROR(SEARCH("figure",E93)))</formula>
    </cfRule>
    <cfRule type="cellIs" dxfId="268" priority="8" operator="equal">
      <formula>"fails"</formula>
    </cfRule>
  </conditionalFormatting>
  <conditionalFormatting sqref="E93:K98">
    <cfRule type="cellIs" dxfId="267" priority="9" operator="equal">
      <formula>"ok"</formula>
    </cfRule>
  </conditionalFormatting>
  <conditionalFormatting sqref="F109">
    <cfRule type="containsText" dxfId="266" priority="1" operator="containsText" text="figure">
      <formula>NOT(ISERROR(SEARCH("figure",F109)))</formula>
    </cfRule>
    <cfRule type="cellIs" dxfId="265" priority="2" operator="equal">
      <formula>"fails"</formula>
    </cfRule>
    <cfRule type="cellIs" dxfId="264" priority="3" operator="equal">
      <formula>"ok"</formula>
    </cfRule>
  </conditionalFormatting>
  <conditionalFormatting sqref="H91:K92">
    <cfRule type="containsText" dxfId="263" priority="46" operator="containsText" text="figure">
      <formula>NOT(ISERROR(SEARCH("figure",H91)))</formula>
    </cfRule>
    <cfRule type="cellIs" dxfId="262" priority="47" operator="equal">
      <formula>"fails"</formula>
    </cfRule>
    <cfRule type="cellIs" dxfId="261" priority="48" operator="equal">
      <formula>"ok"</formula>
    </cfRule>
  </conditionalFormatting>
  <conditionalFormatting sqref="J85:K85">
    <cfRule type="containsText" dxfId="260" priority="13" operator="containsText" text="figure">
      <formula>NOT(ISERROR(SEARCH("figure",J85)))</formula>
    </cfRule>
    <cfRule type="cellIs" dxfId="259" priority="14" operator="equal">
      <formula>"fails"</formula>
    </cfRule>
    <cfRule type="cellIs" dxfId="258" priority="15" operator="equal">
      <formula>"ok"</formula>
    </cfRule>
  </conditionalFormatting>
  <conditionalFormatting sqref="K1:K2">
    <cfRule type="containsText" dxfId="257" priority="130" operator="containsText" text="figure">
      <formula>NOT(ISERROR(SEARCH("figure",K1)))</formula>
    </cfRule>
    <cfRule type="cellIs" dxfId="256" priority="131" operator="equal">
      <formula>"fails"</formula>
    </cfRule>
    <cfRule type="cellIs" dxfId="255" priority="132" operator="equal">
      <formula>"ok"</formula>
    </cfRule>
  </conditionalFormatting>
  <conditionalFormatting sqref="K155">
    <cfRule type="containsText" dxfId="254" priority="142" operator="containsText" text="figure">
      <formula>NOT(ISERROR(SEARCH("figure",K155)))</formula>
    </cfRule>
    <cfRule type="cellIs" dxfId="253" priority="143" operator="equal">
      <formula>"fails"</formula>
    </cfRule>
    <cfRule type="cellIs" dxfId="252" priority="144" operator="equal">
      <formula>"ok"</formula>
    </cfRule>
  </conditionalFormatting>
  <conditionalFormatting sqref="M112:XFD112">
    <cfRule type="containsText" dxfId="251" priority="148" operator="containsText" text="figure">
      <formula>NOT(ISERROR(SEARCH("figure",M112)))</formula>
    </cfRule>
    <cfRule type="cellIs" dxfId="250" priority="149" operator="equal">
      <formula>"fails"</formula>
    </cfRule>
    <cfRule type="cellIs" dxfId="249" priority="150" operator="equal">
      <formula>"ok"</formula>
    </cfRule>
  </conditionalFormatting>
  <conditionalFormatting sqref="O146:O150">
    <cfRule type="cellIs" dxfId="248" priority="190" operator="equal">
      <formula>"FAILS"</formula>
    </cfRule>
  </conditionalFormatting>
  <conditionalFormatting sqref="O113:R114">
    <cfRule type="containsText" dxfId="247" priority="145" operator="containsText" text="figure">
      <formula>NOT(ISERROR(SEARCH("figure",O113)))</formula>
    </cfRule>
    <cfRule type="cellIs" dxfId="246" priority="146" operator="equal">
      <formula>"fails"</formula>
    </cfRule>
    <cfRule type="cellIs" dxfId="245" priority="147" operator="equal">
      <formula>"ok"</formula>
    </cfRule>
  </conditionalFormatting>
  <conditionalFormatting sqref="W109:XFD109">
    <cfRule type="containsText" dxfId="244" priority="4" operator="containsText" text="figure">
      <formula>NOT(ISERROR(SEARCH("figure",W109)))</formula>
    </cfRule>
    <cfRule type="cellIs" dxfId="243" priority="5" operator="equal">
      <formula>"fails"</formula>
    </cfRule>
    <cfRule type="cellIs" dxfId="242" priority="6" operator="equal">
      <formula>"ok"</formula>
    </cfRule>
  </conditionalFormatting>
  <conditionalFormatting sqref="Z58:XFD64">
    <cfRule type="containsText" dxfId="241" priority="175" operator="containsText" text="figure">
      <formula>NOT(ISERROR(SEARCH("figure",Z58)))</formula>
    </cfRule>
    <cfRule type="cellIs" dxfId="240" priority="176" operator="equal">
      <formula>"fails"</formula>
    </cfRule>
    <cfRule type="cellIs" dxfId="239" priority="177" operator="equal">
      <formula>"ok"</formula>
    </cfRule>
  </conditionalFormatting>
  <pageMargins left="1" right="1" top="1" bottom="1" header="0.7" footer="0.7"/>
  <pageSetup scale="90" firstPageNumber="11" orientation="portrait" useFirstPageNumber="1" r:id="rId1"/>
  <headerFooter>
    <oddHeader>&amp;L&amp;"Arial,Italic"&amp;9EXAMPLE 6.3 - BARRIER TYPE 9 STRENGTH DESIGN&amp;"-,Regular"&amp;11
===============================================================================================&amp;R&amp;"Arial,Italic"&amp;9&amp;P</oddHeader>
    <oddFooter>&amp;L===============================================================================================
&amp;"Arial,Italic"&amp;9CDOT Bridge Design Manual&amp;R
&amp;"Arial,Italic"&amp;9February 2023</oddFooter>
  </headerFooter>
  <rowBreaks count="3" manualBreakCount="3">
    <brk id="55" max="10" man="1"/>
    <brk id="99" max="16383" man="1"/>
    <brk id="1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62"/>
  <sheetViews>
    <sheetView topLeftCell="A128" zoomScale="109" zoomScaleNormal="109" zoomScaleSheetLayoutView="85" workbookViewId="0">
      <selection activeCell="B131" sqref="B131"/>
    </sheetView>
  </sheetViews>
  <sheetFormatPr defaultColWidth="8.85546875" defaultRowHeight="12"/>
  <cols>
    <col min="1" max="3" width="8.85546875" style="2"/>
    <col min="4" max="4" width="9.5703125" style="2" customWidth="1"/>
    <col min="5" max="8" width="8.85546875" style="2"/>
    <col min="9" max="9" width="9.42578125" style="2" bestFit="1" customWidth="1"/>
    <col min="10" max="11" width="8.85546875" style="2"/>
    <col min="12" max="12" width="9.5703125" style="2" customWidth="1"/>
    <col min="13" max="23" width="8.85546875" style="2" customWidth="1"/>
    <col min="24" max="16384" width="8.85546875" style="2"/>
  </cols>
  <sheetData>
    <row r="1" spans="1:15" ht="15.75">
      <c r="J1" s="14" t="s">
        <v>581</v>
      </c>
      <c r="M1" s="7" t="s">
        <v>47</v>
      </c>
      <c r="N1" s="7" t="s">
        <v>48</v>
      </c>
      <c r="O1" s="7" t="s">
        <v>49</v>
      </c>
    </row>
    <row r="2" spans="1:15">
      <c r="M2" s="7">
        <v>3</v>
      </c>
      <c r="N2" s="7">
        <v>0.11</v>
      </c>
      <c r="O2" s="7">
        <v>0.375</v>
      </c>
    </row>
    <row r="3" spans="1:15" ht="12.75">
      <c r="A3" s="1" t="s">
        <v>50</v>
      </c>
      <c r="M3" s="7">
        <v>4</v>
      </c>
      <c r="N3" s="7">
        <v>0.2</v>
      </c>
      <c r="O3" s="7">
        <v>0.5</v>
      </c>
    </row>
    <row r="4" spans="1:15">
      <c r="A4" s="2" t="s">
        <v>248</v>
      </c>
      <c r="J4" s="4" t="s">
        <v>249</v>
      </c>
      <c r="M4" s="7">
        <v>5</v>
      </c>
      <c r="N4" s="7">
        <v>0.31</v>
      </c>
      <c r="O4" s="7">
        <v>0.625</v>
      </c>
    </row>
    <row r="5" spans="1:15">
      <c r="A5" s="2" t="s">
        <v>574</v>
      </c>
      <c r="M5" s="7">
        <v>6</v>
      </c>
      <c r="N5" s="7">
        <v>0.44</v>
      </c>
      <c r="O5" s="7">
        <v>0.75</v>
      </c>
    </row>
    <row r="6" spans="1:15">
      <c r="A6" s="2" t="s">
        <v>534</v>
      </c>
      <c r="M6" s="7">
        <v>7</v>
      </c>
      <c r="N6" s="7">
        <v>0.6</v>
      </c>
      <c r="O6" s="7">
        <v>0.875</v>
      </c>
    </row>
    <row r="7" spans="1:15">
      <c r="A7" s="2" t="s">
        <v>535</v>
      </c>
      <c r="M7" s="7">
        <v>8</v>
      </c>
      <c r="N7" s="7">
        <v>0.79</v>
      </c>
      <c r="O7" s="7">
        <v>1</v>
      </c>
    </row>
    <row r="8" spans="1:15">
      <c r="M8" s="7">
        <v>9</v>
      </c>
      <c r="N8" s="7">
        <v>1</v>
      </c>
      <c r="O8" s="7">
        <v>1.1279999999999999</v>
      </c>
    </row>
    <row r="9" spans="1:15">
      <c r="A9" s="156" t="s">
        <v>355</v>
      </c>
      <c r="B9" s="157"/>
      <c r="C9" s="157"/>
      <c r="D9" s="157"/>
      <c r="E9" s="157"/>
      <c r="F9" s="157"/>
      <c r="G9" s="157"/>
      <c r="H9" s="157"/>
      <c r="I9" s="157"/>
      <c r="J9" s="157"/>
      <c r="M9" s="7">
        <v>10</v>
      </c>
      <c r="N9" s="7">
        <v>1.27</v>
      </c>
      <c r="O9" s="7">
        <v>1.27</v>
      </c>
    </row>
    <row r="10" spans="1:15">
      <c r="A10" s="157"/>
      <c r="B10" s="157"/>
      <c r="C10" s="157"/>
      <c r="D10" s="157"/>
      <c r="E10" s="157"/>
      <c r="F10" s="157"/>
      <c r="G10" s="157"/>
      <c r="H10" s="157"/>
      <c r="I10" s="157"/>
      <c r="J10" s="157"/>
      <c r="M10" s="7">
        <v>11</v>
      </c>
      <c r="N10" s="7">
        <v>1.56</v>
      </c>
      <c r="O10" s="7">
        <v>1.41</v>
      </c>
    </row>
    <row r="11" spans="1:15" ht="15">
      <c r="A11"/>
      <c r="B11"/>
      <c r="C11"/>
      <c r="D11"/>
      <c r="E11"/>
      <c r="F11"/>
      <c r="G11"/>
      <c r="H11"/>
      <c r="I11"/>
      <c r="J11"/>
      <c r="M11" s="7">
        <v>12</v>
      </c>
      <c r="N11" s="7">
        <v>1.76</v>
      </c>
      <c r="O11" s="7">
        <v>1.5</v>
      </c>
    </row>
    <row r="12" spans="1:15" ht="15">
      <c r="A12" s="2" t="s">
        <v>250</v>
      </c>
      <c r="E12" s="177" t="s">
        <v>31</v>
      </c>
      <c r="F12" s="178"/>
      <c r="M12" s="7">
        <v>14</v>
      </c>
      <c r="N12" s="7">
        <v>2.25</v>
      </c>
      <c r="O12" s="7">
        <v>1.6930000000000001</v>
      </c>
    </row>
    <row r="13" spans="1:15" ht="13.5">
      <c r="A13" s="2" t="s">
        <v>251</v>
      </c>
      <c r="E13" s="4" t="s">
        <v>536</v>
      </c>
      <c r="F13" s="47">
        <f>+'6.2 Type 10MASH'!E18</f>
        <v>18</v>
      </c>
      <c r="G13" s="2" t="s">
        <v>52</v>
      </c>
      <c r="M13" s="7">
        <v>18</v>
      </c>
      <c r="N13" s="7">
        <v>4</v>
      </c>
      <c r="O13" s="7">
        <v>2.2570000000000001</v>
      </c>
    </row>
    <row r="14" spans="1:15" ht="13.5">
      <c r="A14" s="2" t="s">
        <v>252</v>
      </c>
      <c r="E14" s="4" t="s">
        <v>537</v>
      </c>
      <c r="F14" s="52">
        <f>'6.1 Deck Design'!F62</f>
        <v>0.28854999999999997</v>
      </c>
      <c r="G14" s="2" t="s">
        <v>264</v>
      </c>
    </row>
    <row r="15" spans="1:15" ht="13.5">
      <c r="A15" s="2" t="s">
        <v>12</v>
      </c>
      <c r="E15" s="4" t="s">
        <v>538</v>
      </c>
      <c r="F15" s="52">
        <f>'6.1 Deck Design'!F47</f>
        <v>0.14666999999999999</v>
      </c>
      <c r="G15" s="2" t="s">
        <v>33</v>
      </c>
      <c r="J15" s="4" t="s">
        <v>253</v>
      </c>
    </row>
    <row r="16" spans="1:15" ht="13.5">
      <c r="A16" s="2" t="s">
        <v>11</v>
      </c>
      <c r="E16" s="4" t="s">
        <v>539</v>
      </c>
      <c r="F16" s="9">
        <f>'6.1 Deck Design'!F46</f>
        <v>0.15</v>
      </c>
      <c r="G16" s="2" t="s">
        <v>33</v>
      </c>
    </row>
    <row r="17" spans="1:10" ht="13.5">
      <c r="A17" s="2" t="s">
        <v>254</v>
      </c>
      <c r="E17" s="4" t="s">
        <v>540</v>
      </c>
      <c r="F17" s="29">
        <f>'Type 10MASH CG'!D32</f>
        <v>12.626111734286974</v>
      </c>
      <c r="G17" s="2" t="s">
        <v>52</v>
      </c>
    </row>
    <row r="18" spans="1:10" ht="13.5">
      <c r="A18" s="2" t="s">
        <v>124</v>
      </c>
      <c r="E18" s="4" t="s">
        <v>507</v>
      </c>
      <c r="F18" s="29">
        <f>'6.2 Type 10MASH'!H246</f>
        <v>7.2607284286257574</v>
      </c>
      <c r="G18" s="2" t="s">
        <v>267</v>
      </c>
    </row>
    <row r="19" spans="1:10" ht="13.5">
      <c r="A19" s="152" t="s">
        <v>127</v>
      </c>
      <c r="E19" s="4" t="s">
        <v>541</v>
      </c>
      <c r="F19" s="29">
        <f>+'6.2 Type 10MASH'!H247</f>
        <v>19.664472827528094</v>
      </c>
      <c r="G19" s="2" t="s">
        <v>265</v>
      </c>
    </row>
    <row r="20" spans="1:10" ht="13.5">
      <c r="A20" s="2" t="s">
        <v>255</v>
      </c>
      <c r="E20" s="4" t="s">
        <v>542</v>
      </c>
      <c r="F20" s="29">
        <f>+'6.2 Type 10MASH'!I113</f>
        <v>7.376898247708719</v>
      </c>
      <c r="G20" s="2" t="s">
        <v>266</v>
      </c>
    </row>
    <row r="21" spans="1:10" ht="13.5">
      <c r="A21" s="2" t="s">
        <v>256</v>
      </c>
      <c r="E21" s="4" t="s">
        <v>543</v>
      </c>
      <c r="F21" s="105">
        <v>5</v>
      </c>
      <c r="G21" s="2" t="s">
        <v>66</v>
      </c>
    </row>
    <row r="22" spans="1:10" ht="13.5">
      <c r="A22" s="2" t="s">
        <v>257</v>
      </c>
      <c r="E22" s="4" t="s">
        <v>544</v>
      </c>
      <c r="F22" s="105">
        <v>3</v>
      </c>
      <c r="G22" s="2" t="s">
        <v>66</v>
      </c>
    </row>
    <row r="23" spans="1:10" ht="13.5">
      <c r="A23" s="2" t="s">
        <v>258</v>
      </c>
      <c r="E23" s="4" t="s">
        <v>545</v>
      </c>
      <c r="F23" s="105">
        <v>8</v>
      </c>
      <c r="G23" s="2" t="s">
        <v>52</v>
      </c>
    </row>
    <row r="24" spans="1:10" ht="13.5">
      <c r="A24" s="2" t="s">
        <v>259</v>
      </c>
      <c r="E24" s="4" t="s">
        <v>546</v>
      </c>
      <c r="F24" s="105">
        <v>10</v>
      </c>
      <c r="G24" s="2" t="s">
        <v>260</v>
      </c>
    </row>
    <row r="25" spans="1:10" ht="13.5">
      <c r="A25" s="2" t="s">
        <v>6</v>
      </c>
      <c r="E25" s="4" t="s">
        <v>547</v>
      </c>
      <c r="F25" s="105">
        <f>'6.1 Deck Design'!F40</f>
        <v>2</v>
      </c>
      <c r="G25" s="2" t="s">
        <v>52</v>
      </c>
      <c r="J25" s="4" t="s">
        <v>261</v>
      </c>
    </row>
    <row r="26" spans="1:10" ht="13.5">
      <c r="A26" s="2" t="s">
        <v>262</v>
      </c>
      <c r="E26" s="4" t="s">
        <v>548</v>
      </c>
      <c r="F26" s="104">
        <f>'6.1 Deck Design'!F44</f>
        <v>4.5</v>
      </c>
      <c r="G26" s="2" t="s">
        <v>32</v>
      </c>
    </row>
    <row r="27" spans="1:10" ht="13.5">
      <c r="A27" s="2" t="s">
        <v>263</v>
      </c>
      <c r="E27" s="4" t="s">
        <v>549</v>
      </c>
      <c r="F27" s="104">
        <f>'6.1 Deck Design'!F45</f>
        <v>60</v>
      </c>
      <c r="G27" s="2" t="s">
        <v>32</v>
      </c>
    </row>
    <row r="28" spans="1:10">
      <c r="A28" s="2" t="s">
        <v>286</v>
      </c>
      <c r="E28" s="4"/>
      <c r="F28" s="104" t="str">
        <f>'6.2 Type 10MASH'!E12</f>
        <v>TL-4</v>
      </c>
    </row>
    <row r="29" spans="1:10" ht="13.5">
      <c r="A29" s="2" t="s">
        <v>63</v>
      </c>
      <c r="E29" s="4" t="s">
        <v>449</v>
      </c>
      <c r="F29" s="104">
        <f>'6.2 Type 10MASH'!E13</f>
        <v>80</v>
      </c>
      <c r="G29" s="2" t="s">
        <v>64</v>
      </c>
    </row>
    <row r="30" spans="1:10" ht="13.5">
      <c r="A30" s="2" t="s">
        <v>65</v>
      </c>
      <c r="E30" s="4" t="s">
        <v>450</v>
      </c>
      <c r="F30" s="104">
        <f>'6.2 Type 10MASH'!E14</f>
        <v>5</v>
      </c>
      <c r="G30" s="2" t="s">
        <v>26</v>
      </c>
    </row>
    <row r="31" spans="1:10" ht="13.5">
      <c r="A31" s="2" t="s">
        <v>287</v>
      </c>
      <c r="E31" s="4" t="s">
        <v>550</v>
      </c>
      <c r="F31" s="104">
        <v>22</v>
      </c>
      <c r="G31" s="2" t="s">
        <v>64</v>
      </c>
    </row>
    <row r="32" spans="1:10" ht="13.5">
      <c r="A32" s="2" t="s">
        <v>288</v>
      </c>
      <c r="E32" s="4" t="s">
        <v>551</v>
      </c>
      <c r="F32" s="104">
        <v>18</v>
      </c>
      <c r="G32" s="2" t="s">
        <v>26</v>
      </c>
    </row>
    <row r="34" spans="1:10" ht="15">
      <c r="A34" s="180" t="s">
        <v>692</v>
      </c>
      <c r="B34" s="180"/>
      <c r="C34" s="181" t="s">
        <v>173</v>
      </c>
      <c r="D34" s="181"/>
      <c r="E34" s="181"/>
      <c r="F34" s="182"/>
    </row>
    <row r="35" spans="1:10" ht="13.5">
      <c r="A35" s="180"/>
      <c r="B35" s="180"/>
      <c r="C35" s="7" t="s">
        <v>575</v>
      </c>
      <c r="D35" s="7" t="s">
        <v>402</v>
      </c>
      <c r="E35" s="7" t="s">
        <v>576</v>
      </c>
      <c r="F35" s="7" t="s">
        <v>690</v>
      </c>
    </row>
    <row r="36" spans="1:10">
      <c r="A36" s="111" t="s">
        <v>289</v>
      </c>
      <c r="B36" s="111"/>
      <c r="C36" s="62">
        <v>1</v>
      </c>
      <c r="D36" s="62">
        <v>1</v>
      </c>
      <c r="E36" s="62">
        <v>1</v>
      </c>
      <c r="F36" s="62">
        <v>0.5</v>
      </c>
      <c r="J36" s="4" t="s">
        <v>691</v>
      </c>
    </row>
    <row r="37" spans="1:10">
      <c r="A37" s="102" t="s">
        <v>175</v>
      </c>
      <c r="B37" s="112"/>
      <c r="C37" s="106">
        <v>1.25</v>
      </c>
      <c r="D37" s="62">
        <v>1.5</v>
      </c>
      <c r="E37" s="62">
        <v>0</v>
      </c>
      <c r="F37" s="62">
        <v>1.75</v>
      </c>
    </row>
    <row r="38" spans="1:10">
      <c r="C38" s="29"/>
      <c r="D38" s="29"/>
      <c r="E38" s="29"/>
      <c r="F38" s="29"/>
    </row>
    <row r="39" spans="1:10">
      <c r="A39" s="156" t="s">
        <v>693</v>
      </c>
      <c r="B39" s="157"/>
      <c r="C39" s="157"/>
      <c r="D39" s="157"/>
      <c r="E39" s="157"/>
      <c r="F39" s="157"/>
      <c r="G39" s="157"/>
      <c r="H39" s="157"/>
      <c r="I39" s="157"/>
      <c r="J39" s="157"/>
    </row>
    <row r="40" spans="1:10" ht="11.45" customHeight="1">
      <c r="A40" s="157"/>
      <c r="B40" s="157"/>
      <c r="C40" s="157"/>
      <c r="D40" s="157"/>
      <c r="E40" s="157"/>
      <c r="F40" s="157"/>
      <c r="G40" s="157"/>
      <c r="H40" s="157"/>
      <c r="I40" s="157"/>
      <c r="J40" s="157"/>
    </row>
    <row r="41" spans="1:10" ht="11.45" customHeight="1">
      <c r="A41" s="157"/>
      <c r="B41" s="157"/>
      <c r="C41" s="157"/>
      <c r="D41" s="157"/>
      <c r="E41" s="157"/>
      <c r="F41" s="157"/>
      <c r="G41" s="157"/>
      <c r="H41" s="157"/>
      <c r="I41" s="157"/>
      <c r="J41" s="157"/>
    </row>
    <row r="42" spans="1:10" ht="11.45" customHeight="1">
      <c r="A42" s="157"/>
      <c r="B42" s="157"/>
      <c r="C42" s="157"/>
      <c r="D42" s="157"/>
      <c r="E42" s="157"/>
      <c r="F42" s="157"/>
      <c r="G42" s="157"/>
      <c r="H42" s="157"/>
      <c r="I42" s="157"/>
      <c r="J42" s="157"/>
    </row>
    <row r="43" spans="1:10" ht="11.45" customHeight="1">
      <c r="A43" s="101"/>
      <c r="B43" s="101"/>
      <c r="C43" s="101"/>
      <c r="D43" s="101"/>
      <c r="E43" s="101"/>
      <c r="F43" s="101"/>
      <c r="G43" s="101"/>
      <c r="H43" s="101"/>
      <c r="I43" s="101"/>
      <c r="J43" s="101"/>
    </row>
    <row r="44" spans="1:10" ht="12.75">
      <c r="A44" s="1" t="s">
        <v>695</v>
      </c>
    </row>
    <row r="45" spans="1:10">
      <c r="A45" s="51"/>
    </row>
    <row r="46" spans="1:10">
      <c r="A46" s="2" t="s">
        <v>268</v>
      </c>
      <c r="E46" s="4" t="s">
        <v>269</v>
      </c>
      <c r="F46" s="29">
        <v>1.5</v>
      </c>
      <c r="G46" s="2" t="s">
        <v>66</v>
      </c>
      <c r="J46" s="4" t="s">
        <v>156</v>
      </c>
    </row>
    <row r="47" spans="1:10">
      <c r="A47" s="2" t="s">
        <v>270</v>
      </c>
      <c r="E47" s="4" t="s">
        <v>271</v>
      </c>
      <c r="F47" s="29">
        <f>F46-F13/12</f>
        <v>0</v>
      </c>
      <c r="G47" s="2" t="s">
        <v>66</v>
      </c>
    </row>
    <row r="48" spans="1:10" ht="13.5">
      <c r="A48" s="2" t="s">
        <v>272</v>
      </c>
      <c r="E48" s="4" t="s">
        <v>552</v>
      </c>
      <c r="F48" s="29">
        <v>9</v>
      </c>
      <c r="G48" s="156" t="s">
        <v>273</v>
      </c>
      <c r="H48" s="157"/>
      <c r="I48" s="157"/>
      <c r="J48" s="157"/>
    </row>
    <row r="49" spans="1:10">
      <c r="G49" s="157"/>
      <c r="H49" s="157"/>
      <c r="I49" s="157"/>
      <c r="J49" s="157"/>
    </row>
    <row r="50" spans="1:10">
      <c r="A50" s="2" t="s">
        <v>274</v>
      </c>
    </row>
    <row r="51" spans="1:10" ht="13.5">
      <c r="A51" s="2" t="s">
        <v>275</v>
      </c>
      <c r="B51" s="2" t="s">
        <v>553</v>
      </c>
      <c r="E51" s="2" t="str">
        <f>TEXT($F$14,"0.000")&amp;" kip/ft. * ("&amp;TEXT(F46,"0.00")&amp;" ft. - "&amp;TEXT(F17,"0.00")&amp;" in. / 12 in./ft.) ="</f>
        <v>0.289 kip/ft. * (1.50 ft. - 12.63 in. / 12 in./ft.) =</v>
      </c>
      <c r="I51" s="15">
        <f>F14*(F46-F17/12)</f>
        <v>0.12921962158929109</v>
      </c>
      <c r="J51" s="2" t="s">
        <v>119</v>
      </c>
    </row>
    <row r="52" spans="1:10" ht="14.25">
      <c r="A52" s="2" t="s">
        <v>276</v>
      </c>
      <c r="B52" s="2" t="s">
        <v>554</v>
      </c>
      <c r="E52" s="2" t="str">
        <f>TEXT(F16,"0.000")&amp;" kcf * "&amp;TEXT($F$23,"0")&amp;" in. / 12 in./ft. * ("&amp;TEXT(F46,"0.00")&amp;" ft.)² / 2 ="</f>
        <v>0.150 kcf * 8 in. / 12 in./ft. * (1.50 ft.)² / 2 =</v>
      </c>
      <c r="I52" s="15">
        <f>$F$16*F23/12*F46^2/2</f>
        <v>0.11249999999999999</v>
      </c>
      <c r="J52" s="2" t="s">
        <v>119</v>
      </c>
    </row>
    <row r="54" spans="1:10" ht="13.5">
      <c r="A54" s="2" t="s">
        <v>277</v>
      </c>
      <c r="D54" s="2" t="s">
        <v>555</v>
      </c>
    </row>
    <row r="55" spans="1:10">
      <c r="A55" s="2" t="str">
        <f>"= 0.5 * "&amp;TEXT(F16,"0.000")&amp;" kcf * "&amp;TEXT(F46,"0.00")&amp;" ft. * ("&amp;TEXT(F24,"0.0")&amp;" in. - "&amp;TEXT(F23,"0.0")&amp;" in.) / 12 in./ft. * ("&amp;TEXT(F46,"0.00")&amp; " ft. - 2/3 * "&amp;TEXT(F46,"0.00")&amp;" ft.) ="</f>
        <v>= 0.5 * 0.150 kcf * 1.50 ft. * (10.0 in. - 8.0 in.) / 12 in./ft. * (1.50 ft. - 2/3 * 1.50 ft.) =</v>
      </c>
      <c r="I55" s="15">
        <f>$F$16*0.5*(F24-F23)*F46*(F46-2/3*F46)/12</f>
        <v>9.3749999999999997E-3</v>
      </c>
      <c r="J55" s="2" t="s">
        <v>119</v>
      </c>
    </row>
    <row r="57" spans="1:10" ht="13.5">
      <c r="A57" s="2" t="s">
        <v>556</v>
      </c>
      <c r="E57" s="2" t="str">
        <f>TEXT(I51,"0.00")&amp;" kip-ft.+"&amp;TEXT(I52,"0.00")&amp;" kip-ft.+"&amp;TEXT(I55, "0.000")&amp;" kip-ft. ="</f>
        <v>0.13 kip-ft.+0.11 kip-ft.+0.009 kip-ft. =</v>
      </c>
      <c r="I57" s="15">
        <f>SUM(I51:I55)</f>
        <v>0.25109462158929108</v>
      </c>
      <c r="J57" s="2" t="s">
        <v>119</v>
      </c>
    </row>
    <row r="60" spans="1:10">
      <c r="H60" s="2" t="s">
        <v>771</v>
      </c>
    </row>
    <row r="61" spans="1:10">
      <c r="H61" s="2" t="s">
        <v>770</v>
      </c>
    </row>
    <row r="62" spans="1:10">
      <c r="H62" s="2" t="s">
        <v>769</v>
      </c>
    </row>
    <row r="63" spans="1:10">
      <c r="H63" s="2" t="s">
        <v>768</v>
      </c>
    </row>
    <row r="66" spans="28:28">
      <c r="AB66" s="5"/>
    </row>
    <row r="81" spans="1:10">
      <c r="A81" s="2" t="s">
        <v>278</v>
      </c>
    </row>
    <row r="82" spans="1:10" ht="14.25">
      <c r="A82" s="2" t="s">
        <v>279</v>
      </c>
      <c r="D82" s="4" t="s">
        <v>557</v>
      </c>
      <c r="E82" s="2" t="str">
        <f>TEXT(F15,"0.000")&amp;" kcf * "&amp;TEXT('6.1 Deck Design'!F42,"0")&amp;"in. / 12 in./ft. * ("&amp;TEXT(F47,"0.00")&amp;" ft.) / 2 ="</f>
        <v>0.147 kcf * 3in. / 12 in./ft. * (0.00 ft.) / 2 =</v>
      </c>
      <c r="I82" s="15">
        <f>$F$15*'6.1 Deck Design'!F42/12*F47^2/2</f>
        <v>0</v>
      </c>
      <c r="J82" s="2" t="s">
        <v>119</v>
      </c>
    </row>
    <row r="84" spans="1:10">
      <c r="A84" s="156" t="s">
        <v>356</v>
      </c>
      <c r="B84" s="157"/>
      <c r="C84" s="157"/>
      <c r="D84" s="157"/>
      <c r="E84" s="157"/>
      <c r="F84" s="157"/>
      <c r="G84" s="157"/>
      <c r="H84" s="157"/>
      <c r="I84" s="157"/>
      <c r="J84" s="157"/>
    </row>
    <row r="85" spans="1:10">
      <c r="A85" s="157"/>
      <c r="B85" s="157"/>
      <c r="C85" s="157"/>
      <c r="D85" s="157"/>
      <c r="E85" s="157"/>
      <c r="F85" s="157"/>
      <c r="G85" s="157"/>
      <c r="H85" s="157"/>
      <c r="I85" s="157"/>
      <c r="J85" s="157"/>
    </row>
    <row r="87" spans="1:10" ht="13.5">
      <c r="A87" s="2" t="s">
        <v>280</v>
      </c>
      <c r="E87" s="2" t="s">
        <v>558</v>
      </c>
      <c r="F87" s="8">
        <f>F19</f>
        <v>19.664472827528094</v>
      </c>
      <c r="G87" s="2" t="s">
        <v>119</v>
      </c>
    </row>
    <row r="89" spans="1:10">
      <c r="A89" s="2" t="s">
        <v>285</v>
      </c>
      <c r="J89" s="4" t="s">
        <v>281</v>
      </c>
    </row>
    <row r="90" spans="1:10" ht="13.5">
      <c r="A90" s="2" t="s">
        <v>559</v>
      </c>
      <c r="D90" s="2" t="str">
        <f>TEXT(I57,"0.000")&amp;" kip-ft. + "&amp;TEXT(I82,"0.000")&amp;" kip-ft. + "&amp;TEXT(F87,"0.00")&amp;" kip-ft. ="</f>
        <v>0.251 kip-ft. + 0.000 kip-ft. + 19.66 kip-ft. =</v>
      </c>
      <c r="H90" s="29">
        <f>C36*I57+D36*I82+E36*F87</f>
        <v>19.915567449117386</v>
      </c>
      <c r="I90" s="2" t="s">
        <v>119</v>
      </c>
    </row>
    <row r="92" spans="1:10" ht="12.75">
      <c r="A92" s="1" t="s">
        <v>696</v>
      </c>
    </row>
    <row r="93" spans="1:10">
      <c r="A93" s="2" t="s">
        <v>698</v>
      </c>
    </row>
    <row r="94" spans="1:10" ht="17.25" customHeight="1">
      <c r="A94" s="2" t="s">
        <v>694</v>
      </c>
      <c r="F94" s="2" t="s">
        <v>560</v>
      </c>
      <c r="G94" s="52">
        <f>F46-F17/12</f>
        <v>0.44782402214275208</v>
      </c>
      <c r="H94" s="2" t="s">
        <v>26</v>
      </c>
    </row>
    <row r="95" spans="1:10" ht="13.5">
      <c r="A95" s="2" t="s">
        <v>287</v>
      </c>
      <c r="F95" s="2" t="s">
        <v>550</v>
      </c>
      <c r="G95" s="29">
        <f>F31</f>
        <v>22</v>
      </c>
      <c r="H95" s="2" t="s">
        <v>64</v>
      </c>
    </row>
    <row r="96" spans="1:10" ht="13.5">
      <c r="A96" s="2" t="s">
        <v>288</v>
      </c>
      <c r="F96" s="2" t="s">
        <v>551</v>
      </c>
      <c r="G96" s="29">
        <f>F32</f>
        <v>18</v>
      </c>
      <c r="H96" s="2" t="s">
        <v>26</v>
      </c>
    </row>
    <row r="98" spans="1:10">
      <c r="A98" s="2" t="s">
        <v>290</v>
      </c>
    </row>
    <row r="99" spans="1:10" ht="13.5">
      <c r="B99" s="2" t="s">
        <v>561</v>
      </c>
      <c r="D99" s="2" t="str">
        <f>TEXT($G$95,"0")&amp;" kip * "&amp;TEXT(G94,"0.00")&amp;" ft. / "&amp;TEXT(G96,"0.00")&amp;" ft. ="</f>
        <v>22 kip * 0.45 ft. / 18.00 ft. =</v>
      </c>
      <c r="G99" s="52">
        <f>G95*G94/G96</f>
        <v>0.54734047150780807</v>
      </c>
      <c r="H99" s="2" t="s">
        <v>119</v>
      </c>
    </row>
    <row r="101" spans="1:10">
      <c r="A101" s="2" t="s">
        <v>291</v>
      </c>
    </row>
    <row r="102" spans="1:10" ht="13.5">
      <c r="B102" s="2" t="s">
        <v>562</v>
      </c>
      <c r="C102" s="8">
        <f>I57</f>
        <v>0.25109462158929108</v>
      </c>
      <c r="D102" s="2" t="s">
        <v>119</v>
      </c>
    </row>
    <row r="104" spans="1:10">
      <c r="A104" s="2" t="s">
        <v>285</v>
      </c>
      <c r="J104" s="4" t="s">
        <v>281</v>
      </c>
    </row>
    <row r="105" spans="1:10" ht="13.5">
      <c r="B105" s="2" t="s">
        <v>563</v>
      </c>
      <c r="E105" s="2" t="str">
        <f>TEXT(G99,"0.000")&amp;" kip-ft./ft. + "&amp;TEXT(C102,"0.000")&amp;" kip-ft./ft. ="</f>
        <v>0.547 kip-ft./ft. + 0.251 kip-ft./ft. =</v>
      </c>
      <c r="H105" s="52">
        <f>C36*G99+E36*C102</f>
        <v>0.79843509309709915</v>
      </c>
      <c r="I105" s="2" t="s">
        <v>119</v>
      </c>
    </row>
    <row r="107" spans="1:10" ht="12.75">
      <c r="A107" s="1" t="s">
        <v>697</v>
      </c>
    </row>
    <row r="108" spans="1:10">
      <c r="A108" s="156" t="s">
        <v>699</v>
      </c>
      <c r="B108" s="157"/>
      <c r="C108" s="157"/>
      <c r="D108" s="157"/>
      <c r="E108" s="157"/>
      <c r="F108" s="157"/>
      <c r="G108" s="157"/>
      <c r="H108" s="157"/>
      <c r="I108" s="157"/>
      <c r="J108" s="157"/>
    </row>
    <row r="109" spans="1:10">
      <c r="A109" s="157"/>
      <c r="B109" s="157"/>
      <c r="C109" s="157"/>
      <c r="D109" s="157"/>
      <c r="E109" s="157"/>
      <c r="F109" s="157"/>
      <c r="G109" s="157"/>
      <c r="H109" s="157"/>
      <c r="I109" s="157"/>
      <c r="J109" s="157"/>
    </row>
    <row r="110" spans="1:10" ht="15">
      <c r="A110"/>
      <c r="B110"/>
      <c r="C110"/>
      <c r="D110"/>
      <c r="E110"/>
      <c r="F110"/>
      <c r="G110"/>
      <c r="H110"/>
      <c r="I110"/>
      <c r="J110"/>
    </row>
    <row r="111" spans="1:10">
      <c r="A111" s="156" t="s">
        <v>292</v>
      </c>
      <c r="B111" s="157"/>
      <c r="C111" s="157"/>
      <c r="D111" s="157"/>
      <c r="E111" s="157"/>
      <c r="F111" s="157"/>
      <c r="G111" s="157"/>
      <c r="H111" s="157"/>
      <c r="I111" s="157"/>
      <c r="J111" s="157"/>
    </row>
    <row r="112" spans="1:10">
      <c r="A112" s="157"/>
      <c r="B112" s="157"/>
      <c r="C112" s="157"/>
      <c r="D112" s="157"/>
      <c r="E112" s="157"/>
      <c r="F112" s="157"/>
      <c r="G112" s="157"/>
      <c r="H112" s="157"/>
      <c r="I112" s="157"/>
      <c r="J112" s="157"/>
    </row>
    <row r="113" spans="1:10">
      <c r="A113" s="157"/>
      <c r="B113" s="157"/>
      <c r="C113" s="157"/>
      <c r="D113" s="157"/>
      <c r="E113" s="157"/>
      <c r="F113" s="157"/>
      <c r="G113" s="157"/>
      <c r="H113" s="157"/>
      <c r="I113" s="157"/>
      <c r="J113" s="157"/>
    </row>
    <row r="115" spans="1:10">
      <c r="A115" s="2" t="s">
        <v>268</v>
      </c>
      <c r="E115" s="9" t="s">
        <v>269</v>
      </c>
      <c r="F115" s="9">
        <v>3</v>
      </c>
      <c r="G115" s="2" t="s">
        <v>66</v>
      </c>
    </row>
    <row r="116" spans="1:10">
      <c r="A116" s="2" t="s">
        <v>270</v>
      </c>
      <c r="E116" s="9" t="s">
        <v>271</v>
      </c>
      <c r="F116" s="9">
        <f>F115-F13/12</f>
        <v>1.5</v>
      </c>
      <c r="G116" s="2" t="s">
        <v>66</v>
      </c>
    </row>
    <row r="117" spans="1:10" ht="13.5">
      <c r="A117" s="2" t="s">
        <v>272</v>
      </c>
      <c r="E117" s="9" t="s">
        <v>552</v>
      </c>
      <c r="F117" s="29">
        <f>F24</f>
        <v>10</v>
      </c>
      <c r="G117" s="2" t="s">
        <v>52</v>
      </c>
    </row>
    <row r="118" spans="1:10">
      <c r="A118" s="2" t="s">
        <v>293</v>
      </c>
      <c r="E118" s="9" t="s">
        <v>294</v>
      </c>
      <c r="F118" s="9">
        <f>F116-1</f>
        <v>0.5</v>
      </c>
      <c r="G118" s="2" t="s">
        <v>66</v>
      </c>
    </row>
    <row r="119" spans="1:10">
      <c r="A119" s="2" t="s">
        <v>295</v>
      </c>
      <c r="E119" s="9" t="s">
        <v>296</v>
      </c>
      <c r="F119" s="29">
        <v>1</v>
      </c>
      <c r="J119" s="4" t="s">
        <v>297</v>
      </c>
    </row>
    <row r="120" spans="1:10">
      <c r="A120" s="2" t="s">
        <v>298</v>
      </c>
      <c r="E120" s="9" t="s">
        <v>299</v>
      </c>
      <c r="F120" s="9">
        <v>0.33</v>
      </c>
      <c r="J120" s="4" t="s">
        <v>300</v>
      </c>
    </row>
    <row r="122" spans="1:10">
      <c r="A122" s="2" t="s">
        <v>301</v>
      </c>
    </row>
    <row r="123" spans="1:10" ht="13.5">
      <c r="A123" s="2" t="s">
        <v>302</v>
      </c>
      <c r="E123" s="2" t="s">
        <v>564</v>
      </c>
      <c r="F123" s="52">
        <f>F14*(F115-F17/12)</f>
        <v>0.56204462158929103</v>
      </c>
      <c r="G123" s="2" t="s">
        <v>119</v>
      </c>
    </row>
    <row r="124" spans="1:10" ht="13.5">
      <c r="A124" s="2" t="s">
        <v>303</v>
      </c>
      <c r="E124" s="2" t="s">
        <v>565</v>
      </c>
      <c r="F124" s="9">
        <f>$F$16*F23/12*F115^2/2</f>
        <v>0.44999999999999996</v>
      </c>
      <c r="G124" s="2" t="s">
        <v>119</v>
      </c>
    </row>
    <row r="125" spans="1:10" ht="13.5">
      <c r="A125" s="2" t="s">
        <v>304</v>
      </c>
      <c r="E125" s="2" t="s">
        <v>577</v>
      </c>
      <c r="F125" s="52">
        <f>$F$16*0.5*(F24-F23)*F115*(F115-2/3*F115)/12</f>
        <v>3.7499999999999999E-2</v>
      </c>
      <c r="G125" s="2" t="s">
        <v>119</v>
      </c>
    </row>
    <row r="126" spans="1:10" ht="13.5">
      <c r="A126" s="2" t="s">
        <v>279</v>
      </c>
      <c r="E126" s="2" t="s">
        <v>578</v>
      </c>
      <c r="F126" s="52">
        <f>$F$15*'6.1 Deck Design'!F42/12*F116^2/2</f>
        <v>4.1250937500000001E-2</v>
      </c>
      <c r="G126" s="2" t="s">
        <v>119</v>
      </c>
    </row>
    <row r="127" spans="1:10">
      <c r="J127" s="4" t="s">
        <v>307</v>
      </c>
    </row>
    <row r="128" spans="1:10" ht="13.5">
      <c r="A128" s="2" t="s">
        <v>305</v>
      </c>
      <c r="D128" s="2" t="s">
        <v>579</v>
      </c>
      <c r="E128" s="2" t="str">
        <f>"1.0 klf * "&amp;TEXT(F118,"0.00")&amp;" ft. ="</f>
        <v>1.0 klf * 0.50 ft. =</v>
      </c>
      <c r="G128" s="9">
        <f>1*F118</f>
        <v>0.5</v>
      </c>
      <c r="H128" s="2" t="s">
        <v>119</v>
      </c>
    </row>
    <row r="129" spans="1:10" ht="13.5">
      <c r="A129" s="2" t="s">
        <v>306</v>
      </c>
      <c r="E129" s="2" t="s">
        <v>580</v>
      </c>
    </row>
    <row r="130" spans="1:10">
      <c r="B130" s="2" t="str">
        <f>"= 1.25 * "&amp;TEXT(SUM(F123:F125),"0.00")&amp;" kip-ft./ft + 1.50 * "&amp;TEXT(F126,"0.000")&amp;" kip-ft./ft + 1.75 * "&amp;TEXT(F119,"0.00")&amp;" * 1.33 * "&amp;TEXT(G128,"0.00")&amp; " kip-ft./ft ="</f>
        <v>= 1.25 * 1.05 kip-ft./ft + 1.50 * 0.041 kip-ft./ft + 1.75 * 1.00 * 1.33 * 0.50 kip-ft./ft =</v>
      </c>
      <c r="I130" s="29">
        <f>'6.1 Deck Design'!C109*(F123+F124+F125)+'6.1 Deck Design'!D109*F126+'6.1 Deck Design'!E109*F119*(G128+F120*G128)</f>
        <v>2.5375571832366139</v>
      </c>
      <c r="J130" s="2" t="s">
        <v>119</v>
      </c>
    </row>
    <row r="132" spans="1:10" ht="15" customHeight="1">
      <c r="A132" s="51" t="s">
        <v>700</v>
      </c>
      <c r="C132" s="2" t="s">
        <v>701</v>
      </c>
      <c r="E132"/>
      <c r="F132"/>
      <c r="G132"/>
      <c r="H132"/>
      <c r="I132"/>
      <c r="J132"/>
    </row>
    <row r="133" spans="1:10" ht="15" customHeight="1">
      <c r="A133" s="179" t="s">
        <v>308</v>
      </c>
      <c r="B133" s="179"/>
      <c r="C133" s="2" t="s">
        <v>566</v>
      </c>
      <c r="D133" s="52">
        <f>H90</f>
        <v>19.915567449117386</v>
      </c>
      <c r="E133" s="2" t="s">
        <v>119</v>
      </c>
    </row>
    <row r="134" spans="1:10" ht="13.5">
      <c r="A134" s="179" t="s">
        <v>309</v>
      </c>
      <c r="B134" s="179"/>
      <c r="C134" s="2" t="s">
        <v>567</v>
      </c>
      <c r="D134" s="52">
        <f>H105</f>
        <v>0.79843509309709915</v>
      </c>
      <c r="E134" s="2" t="s">
        <v>119</v>
      </c>
    </row>
    <row r="135" spans="1:10" ht="13.5">
      <c r="A135" s="179" t="s">
        <v>310</v>
      </c>
      <c r="B135" s="179"/>
      <c r="C135" s="2" t="s">
        <v>568</v>
      </c>
      <c r="D135" s="52">
        <f>I130</f>
        <v>2.5375571832366139</v>
      </c>
      <c r="E135" s="2" t="s">
        <v>119</v>
      </c>
    </row>
    <row r="136" spans="1:10">
      <c r="A136" s="179" t="s">
        <v>311</v>
      </c>
      <c r="B136" s="179"/>
      <c r="C136" s="2" t="str">
        <f>IF(D136=D133,"Mu1 =",IF(D136=D134,"Mu2 =","Mu3 ="))</f>
        <v>Mu1 =</v>
      </c>
      <c r="D136" s="52">
        <f>MAX(D133:D135)</f>
        <v>19.915567449117386</v>
      </c>
      <c r="E136" s="2" t="s">
        <v>119</v>
      </c>
      <c r="F136" s="87" t="str">
        <f>IF(D136=D133,"DESIGN CASE 1 CONTROLS",IF(D136=D134,"DESIGN CASE 2 CONTROLS","DESIGN CASE 3 CONTROLS"))</f>
        <v>DESIGN CASE 1 CONTROLS</v>
      </c>
    </row>
    <row r="138" spans="1:10" ht="13.5">
      <c r="A138" s="2" t="s">
        <v>282</v>
      </c>
      <c r="D138" s="2" t="s">
        <v>507</v>
      </c>
      <c r="E138" s="8">
        <f>F18</f>
        <v>7.2607284286257574</v>
      </c>
      <c r="F138" s="2" t="s">
        <v>125</v>
      </c>
    </row>
    <row r="140" spans="1:10">
      <c r="A140" s="2" t="s">
        <v>283</v>
      </c>
      <c r="D140" s="2" t="s">
        <v>189</v>
      </c>
      <c r="F140" s="46">
        <f>'6.1 Deck Design'!F259</f>
        <v>5</v>
      </c>
      <c r="J140" s="4" t="s">
        <v>284</v>
      </c>
    </row>
    <row r="141" spans="1:10">
      <c r="D141" s="2" t="s">
        <v>191</v>
      </c>
      <c r="E141" s="2" t="s">
        <v>192</v>
      </c>
      <c r="F141" s="49">
        <f>'6.1 Deck Design'!G259</f>
        <v>5</v>
      </c>
      <c r="G141" s="2" t="s">
        <v>52</v>
      </c>
    </row>
    <row r="143" spans="1:10">
      <c r="A143" s="2" t="s">
        <v>360</v>
      </c>
      <c r="D143" s="2" t="s">
        <v>189</v>
      </c>
      <c r="F143" s="46">
        <f>'6.1 Deck Design'!F262</f>
        <v>5</v>
      </c>
      <c r="J143" s="4" t="s">
        <v>284</v>
      </c>
    </row>
    <row r="144" spans="1:10">
      <c r="D144" s="2" t="s">
        <v>191</v>
      </c>
      <c r="E144" s="2" t="s">
        <v>192</v>
      </c>
      <c r="F144" s="49">
        <f>'6.1 Deck Design'!G260</f>
        <v>6</v>
      </c>
      <c r="G144" s="2" t="s">
        <v>52</v>
      </c>
    </row>
    <row r="145" spans="1:17">
      <c r="P145" s="2">
        <f>F140</f>
        <v>5</v>
      </c>
    </row>
    <row r="146" spans="1:17" ht="14.25">
      <c r="A146" s="2" t="s">
        <v>357</v>
      </c>
      <c r="D146" s="5" t="s">
        <v>569</v>
      </c>
      <c r="F146" s="5" t="str">
        <f>"12 in. * "&amp;TEXT(P147,"0.00")&amp;" in. / "&amp;TEXT(F141,"0.0")&amp;" in. ="</f>
        <v>12 in. * 0.31 in. / 5.0 in. =</v>
      </c>
      <c r="I146" s="9">
        <f>P147*12/F141</f>
        <v>0.74399999999999999</v>
      </c>
      <c r="J146" s="2" t="s">
        <v>434</v>
      </c>
      <c r="N146" s="2" t="s">
        <v>108</v>
      </c>
      <c r="P146" s="2">
        <f>LOOKUP(F140,$M$2:$M$13,$O$2:$O$13)</f>
        <v>0.625</v>
      </c>
      <c r="Q146" s="2" t="s">
        <v>28</v>
      </c>
    </row>
    <row r="147" spans="1:17" ht="13.5">
      <c r="F147" s="5"/>
      <c r="I147" s="63"/>
      <c r="N147" s="2" t="s">
        <v>110</v>
      </c>
      <c r="P147" s="2">
        <f>LOOKUP(F140,$M$2:$M$13,$N$2:$N$13)</f>
        <v>0.31</v>
      </c>
      <c r="Q147" s="2" t="s">
        <v>436</v>
      </c>
    </row>
    <row r="148" spans="1:17" ht="14.25">
      <c r="A148" s="2" t="s">
        <v>358</v>
      </c>
      <c r="D148" s="5" t="s">
        <v>570</v>
      </c>
      <c r="F148" s="5" t="str">
        <f>"12 in. * "&amp;TEXT(P151,"0.00")&amp;" in. / "&amp;TEXT(F143,"0.0")&amp;" in. ="</f>
        <v>12 in. * 0.31 in. / 5.0 in. =</v>
      </c>
      <c r="I148" s="9">
        <f>P151*12/F144</f>
        <v>0.62</v>
      </c>
      <c r="J148" s="2" t="s">
        <v>434</v>
      </c>
    </row>
    <row r="149" spans="1:17">
      <c r="F149" s="5"/>
      <c r="I149" s="63"/>
      <c r="P149" s="2">
        <f>F143</f>
        <v>5</v>
      </c>
    </row>
    <row r="150" spans="1:17" ht="14.25">
      <c r="A150" s="2" t="s">
        <v>571</v>
      </c>
      <c r="F150" s="2" t="str">
        <f>TEXT(E138,"0.00")&amp;" kip * 0.5 / "&amp;TEXT(F27,"0.0")&amp;" ksi ="</f>
        <v>7.26 kip * 0.5 / 60.0 ksi =</v>
      </c>
      <c r="I150" s="52">
        <f>E138*0.5/$F$27</f>
        <v>6.0506070238547975E-2</v>
      </c>
      <c r="J150" s="2" t="s">
        <v>434</v>
      </c>
      <c r="N150" s="2" t="s">
        <v>108</v>
      </c>
      <c r="P150" s="2">
        <f>LOOKUP(F143,$M$2:$M$13,$O$2:$O$13)</f>
        <v>0.625</v>
      </c>
      <c r="Q150" s="2" t="s">
        <v>28</v>
      </c>
    </row>
    <row r="151" spans="1:17" ht="13.5">
      <c r="F151" s="5"/>
      <c r="I151" s="5"/>
      <c r="N151" s="2" t="s">
        <v>110</v>
      </c>
      <c r="P151" s="2">
        <f>LOOKUP(F143,$M$2:$M$13,$N$2:$N$13)</f>
        <v>0.31</v>
      </c>
      <c r="Q151" s="2" t="s">
        <v>436</v>
      </c>
    </row>
    <row r="152" spans="1:17" ht="13.5">
      <c r="A152" s="2" t="s">
        <v>359</v>
      </c>
      <c r="F152" s="5" t="s">
        <v>572</v>
      </c>
    </row>
    <row r="153" spans="1:17" ht="13.5">
      <c r="F153" s="5" t="str">
        <f>TEXT(I146,"0.00")&amp;" sq. in. - "&amp;TEXT(I150,"0.00")&amp;" sq. in. ="</f>
        <v>0.74 sq. in. - 0.06 sq. in. =</v>
      </c>
      <c r="I153" s="52">
        <f>I146-I150</f>
        <v>0.68349392976145207</v>
      </c>
      <c r="J153" s="2" t="s">
        <v>434</v>
      </c>
    </row>
    <row r="154" spans="1:17">
      <c r="F154" s="5"/>
      <c r="I154" s="63"/>
    </row>
    <row r="155" spans="1:17" ht="13.5">
      <c r="A155" s="2" t="s">
        <v>114</v>
      </c>
      <c r="F155" s="5" t="s">
        <v>573</v>
      </c>
      <c r="G155" s="5"/>
      <c r="H155" s="5"/>
      <c r="I155" s="9"/>
    </row>
    <row r="156" spans="1:17">
      <c r="F156" s="2" t="str">
        <f>TEXT(F48,"0")&amp;" in. - "&amp;TEXT(F25,"0")&amp;" in. - "&amp;TEXT(P146,"0.000")&amp;" in./ 2 ="</f>
        <v>9 in. - 2 in. - 0.625 in./ 2 =</v>
      </c>
      <c r="I156" s="52">
        <f>$F$48-$F$25-0.5*P146</f>
        <v>6.6875</v>
      </c>
      <c r="J156" s="2" t="s">
        <v>121</v>
      </c>
    </row>
    <row r="157" spans="1:17">
      <c r="A157" s="2" t="s">
        <v>115</v>
      </c>
    </row>
    <row r="158" spans="1:17" ht="29.25" customHeight="1">
      <c r="C158" s="94" t="str">
        <f>TEXT(I153,"0.00")&amp;" sq. in. * "&amp;TEXT(F27,"0.00")&amp;" ksi / (0.85 * "&amp;TEXT(F26,"0.00")&amp;" ksi * 12 in.) ="</f>
        <v>0.68 sq. in. * 60.00 ksi / (0.85 * 4.50 ksi * 12 in.) =</v>
      </c>
      <c r="G158" s="48">
        <f>I153*F27/(0.85*F26*12)</f>
        <v>0.89345611733523145</v>
      </c>
      <c r="H158" s="11" t="s">
        <v>52</v>
      </c>
    </row>
    <row r="159" spans="1:17" ht="30" customHeight="1">
      <c r="A159" s="11" t="s">
        <v>195</v>
      </c>
    </row>
    <row r="160" spans="1:17">
      <c r="D160" s="2" t="str">
        <f>TEXT('6.1 Deck Design'!F50,"0.0")&amp;" * "&amp;TEXT(I153,"0.00")&amp;" sq. in. * "&amp;TEXT(F27,"0.00")&amp;" ksi * ( "&amp;TEXT(I156,"0.00")&amp;" in. - "&amp;TEXT(G158,"0.00")&amp;" in / 2 ) ="</f>
        <v>1.0 * 0.68 sq. in. * 60.00 ksi * ( 6.69 in. - 0.89 in / 2 ) =</v>
      </c>
      <c r="I160" s="52">
        <f>'6.1 Deck Design'!F50*F27*I153*(I156-G158/2)/12</f>
        <v>21.327648694631389</v>
      </c>
      <c r="J160" s="2" t="s">
        <v>119</v>
      </c>
    </row>
    <row r="162" spans="4:10">
      <c r="D162" s="52">
        <f>I160</f>
        <v>21.327648694631389</v>
      </c>
      <c r="E162" s="9" t="str">
        <f>IF(D162&gt;F162,"&gt;",IF(D162&lt;F162,"&lt;","="))</f>
        <v>&gt;</v>
      </c>
      <c r="F162" s="52">
        <f>H90</f>
        <v>19.915567449117386</v>
      </c>
      <c r="H162" s="87" t="str">
        <f>IF(D162&gt;F162,"OK","FAILS")</f>
        <v>OK</v>
      </c>
      <c r="J162" s="2" t="str">
        <f>IF(H162="fails","*","")</f>
        <v/>
      </c>
    </row>
  </sheetData>
  <mergeCells count="13">
    <mergeCell ref="A9:J10"/>
    <mergeCell ref="E12:F12"/>
    <mergeCell ref="G48:J49"/>
    <mergeCell ref="A136:B136"/>
    <mergeCell ref="A133:B133"/>
    <mergeCell ref="A134:B134"/>
    <mergeCell ref="A135:B135"/>
    <mergeCell ref="A84:J85"/>
    <mergeCell ref="A111:J113"/>
    <mergeCell ref="A34:B35"/>
    <mergeCell ref="A39:J42"/>
    <mergeCell ref="C34:F34"/>
    <mergeCell ref="A108:J109"/>
  </mergeCells>
  <conditionalFormatting sqref="A5:A7 C5:K7 A8:K8 A9 A12:B12 E12 G12 A13:C14 E13:G14 A17:C17 E19 E21 A21:C23 E22:G24 A24">
    <cfRule type="containsText" dxfId="238" priority="302" operator="containsText" text="figure">
      <formula>NOT(ISERROR(SEARCH("figure",A5)))</formula>
    </cfRule>
  </conditionalFormatting>
  <conditionalFormatting sqref="A5:A7 C5:K7 A8:K8 A9 A12:B12 E12 G12 A13:C14 E13:G14 A17:C17 E19 E21 A21:C23 E22:G25 A24">
    <cfRule type="cellIs" dxfId="237" priority="303" operator="equal">
      <formula>"fails"</formula>
    </cfRule>
  </conditionalFormatting>
  <conditionalFormatting sqref="A5:A7 C5:K7 A8:K8 A9 A12:B12 E12 G12 E13:G14 E19 E21 A21:C23 E22:G25 A24">
    <cfRule type="cellIs" dxfId="236" priority="304" operator="equal">
      <formula>"ok"</formula>
    </cfRule>
  </conditionalFormatting>
  <conditionalFormatting sqref="A29:A32">
    <cfRule type="containsText" dxfId="235" priority="194" operator="containsText" text="figure">
      <formula>NOT(ISERROR(SEARCH("figure",A29)))</formula>
    </cfRule>
    <cfRule type="cellIs" dxfId="234" priority="196" operator="equal">
      <formula>"fails"</formula>
    </cfRule>
    <cfRule type="cellIs" dxfId="233" priority="197" operator="equal">
      <formula>"ok"</formula>
    </cfRule>
  </conditionalFormatting>
  <conditionalFormatting sqref="A39">
    <cfRule type="containsText" dxfId="232" priority="286" operator="containsText" text="figure">
      <formula>NOT(ISERROR(SEARCH("figure",A39)))</formula>
    </cfRule>
    <cfRule type="cellIs" dxfId="231" priority="287" operator="equal">
      <formula>"fails"</formula>
    </cfRule>
    <cfRule type="cellIs" dxfId="230" priority="288" operator="equal">
      <formula>"ok"</formula>
    </cfRule>
  </conditionalFormatting>
  <conditionalFormatting sqref="A44:A48">
    <cfRule type="containsText" dxfId="229" priority="247" operator="containsText" text="figure">
      <formula>NOT(ISERROR(SEARCH("figure",A44)))</formula>
    </cfRule>
    <cfRule type="cellIs" dxfId="228" priority="248" operator="equal">
      <formula>"fails"</formula>
    </cfRule>
    <cfRule type="cellIs" dxfId="227" priority="249" operator="equal">
      <formula>"ok"</formula>
    </cfRule>
  </conditionalFormatting>
  <conditionalFormatting sqref="A78:A83">
    <cfRule type="containsText" dxfId="226" priority="250" operator="containsText" text="figure">
      <formula>NOT(ISERROR(SEARCH("figure",A78)))</formula>
    </cfRule>
    <cfRule type="cellIs" dxfId="225" priority="251" operator="equal">
      <formula>"fails"</formula>
    </cfRule>
    <cfRule type="cellIs" dxfId="224" priority="252" operator="equal">
      <formula>"ok"</formula>
    </cfRule>
  </conditionalFormatting>
  <conditionalFormatting sqref="A92:A93">
    <cfRule type="containsText" dxfId="223" priority="1" operator="containsText" text="figure">
      <formula>NOT(ISERROR(SEARCH("figure",A92)))</formula>
    </cfRule>
    <cfRule type="cellIs" dxfId="222" priority="2" operator="equal">
      <formula>"fails"</formula>
    </cfRule>
    <cfRule type="cellIs" dxfId="221" priority="3" operator="equal">
      <formula>"ok"</formula>
    </cfRule>
  </conditionalFormatting>
  <conditionalFormatting sqref="A96">
    <cfRule type="cellIs" dxfId="220" priority="173" operator="equal">
      <formula>"fails"</formula>
    </cfRule>
    <cfRule type="cellIs" dxfId="219" priority="174" operator="equal">
      <formula>"ok"</formula>
    </cfRule>
  </conditionalFormatting>
  <conditionalFormatting sqref="A116">
    <cfRule type="containsText" dxfId="218" priority="144" operator="containsText" text="figure">
      <formula>NOT(ISERROR(SEARCH("figure",A116)))</formula>
    </cfRule>
    <cfRule type="cellIs" dxfId="217" priority="145" operator="equal">
      <formula>"fails"</formula>
    </cfRule>
    <cfRule type="cellIs" dxfId="216" priority="146" operator="equal">
      <formula>"ok"</formula>
    </cfRule>
  </conditionalFormatting>
  <conditionalFormatting sqref="A123:A126">
    <cfRule type="containsText" dxfId="215" priority="135" operator="containsText" text="figure">
      <formula>NOT(ISERROR(SEARCH("figure",A123)))</formula>
    </cfRule>
    <cfRule type="cellIs" dxfId="214" priority="136" operator="equal">
      <formula>"fails"</formula>
    </cfRule>
    <cfRule type="cellIs" dxfId="213" priority="137" operator="equal">
      <formula>"ok"</formula>
    </cfRule>
  </conditionalFormatting>
  <conditionalFormatting sqref="A132">
    <cfRule type="containsText" dxfId="212" priority="138" operator="containsText" text="figure">
      <formula>NOT(ISERROR(SEARCH("figure",A132)))</formula>
    </cfRule>
    <cfRule type="cellIs" dxfId="211" priority="139" operator="equal">
      <formula>"fails"</formula>
    </cfRule>
    <cfRule type="cellIs" dxfId="210" priority="140" operator="equal">
      <formula>"ok"</formula>
    </cfRule>
  </conditionalFormatting>
  <conditionalFormatting sqref="A150">
    <cfRule type="containsText" dxfId="209" priority="37" operator="containsText" text="figure">
      <formula>NOT(ISERROR(SEARCH("figure",A150)))</formula>
    </cfRule>
    <cfRule type="cellIs" dxfId="208" priority="38" operator="equal">
      <formula>"fails"</formula>
    </cfRule>
    <cfRule type="cellIs" dxfId="207" priority="39" operator="equal">
      <formula>"ok"</formula>
    </cfRule>
  </conditionalFormatting>
  <conditionalFormatting sqref="A13:C17">
    <cfRule type="cellIs" dxfId="206" priority="291" operator="equal">
      <formula>"ok"</formula>
    </cfRule>
  </conditionalFormatting>
  <conditionalFormatting sqref="A15:C16">
    <cfRule type="cellIs" dxfId="204" priority="290" operator="equal">
      <formula>"fails"</formula>
    </cfRule>
  </conditionalFormatting>
  <conditionalFormatting sqref="A19:C19">
    <cfRule type="containsText" dxfId="203" priority="299" operator="containsText" text="figure">
      <formula>NOT(ISERROR(SEARCH("figure",A19)))</formula>
    </cfRule>
    <cfRule type="cellIs" dxfId="202" priority="300" operator="equal">
      <formula>"fails"</formula>
    </cfRule>
    <cfRule type="cellIs" dxfId="201" priority="301" operator="equal">
      <formula>"ok"</formula>
    </cfRule>
  </conditionalFormatting>
  <conditionalFormatting sqref="A25:C27">
    <cfRule type="cellIs" dxfId="200" priority="292" operator="equal">
      <formula>"fails"</formula>
    </cfRule>
    <cfRule type="cellIs" dxfId="199" priority="293" operator="equal">
      <formula>"ok"</formula>
    </cfRule>
  </conditionalFormatting>
  <conditionalFormatting sqref="A34:C36">
    <cfRule type="containsText" dxfId="197" priority="179" operator="containsText" text="figure">
      <formula>NOT(ISERROR(SEARCH("figure",A34)))</formula>
    </cfRule>
    <cfRule type="cellIs" dxfId="196" priority="180" operator="equal">
      <formula>"fails"</formula>
    </cfRule>
  </conditionalFormatting>
  <conditionalFormatting sqref="A34:C38">
    <cfRule type="cellIs" dxfId="195" priority="6" operator="equal">
      <formula>"ok"</formula>
    </cfRule>
  </conditionalFormatting>
  <conditionalFormatting sqref="A104:C104 J104 H105:I105">
    <cfRule type="containsText" dxfId="194" priority="162" operator="containsText" text="figure">
      <formula>NOT(ISERROR(SEARCH("figure",A104)))</formula>
    </cfRule>
    <cfRule type="cellIs" dxfId="193" priority="163" operator="equal">
      <formula>"fails"</formula>
    </cfRule>
    <cfRule type="cellIs" dxfId="192" priority="164" operator="equal">
      <formula>"ok"</formula>
    </cfRule>
  </conditionalFormatting>
  <conditionalFormatting sqref="A122:D122 I122:K122">
    <cfRule type="containsText" dxfId="191" priority="147" operator="containsText" text="figure">
      <formula>NOT(ISERROR(SEARCH("figure",A122)))</formula>
    </cfRule>
    <cfRule type="cellIs" dxfId="190" priority="148" operator="equal">
      <formula>"fails"</formula>
    </cfRule>
    <cfRule type="cellIs" dxfId="189" priority="149" operator="equal">
      <formula>"ok"</formula>
    </cfRule>
  </conditionalFormatting>
  <conditionalFormatting sqref="A146:D149">
    <cfRule type="containsText" dxfId="188" priority="43" operator="containsText" text="figure">
      <formula>NOT(ISERROR(SEARCH("figure",A146)))</formula>
    </cfRule>
    <cfRule type="cellIs" dxfId="187" priority="44" operator="equal">
      <formula>"fails"</formula>
    </cfRule>
    <cfRule type="cellIs" dxfId="186" priority="45" operator="equal">
      <formula>"ok"</formula>
    </cfRule>
  </conditionalFormatting>
  <conditionalFormatting sqref="A151:D155 F151:F155">
    <cfRule type="containsText" dxfId="185" priority="25" operator="containsText" text="figure">
      <formula>NOT(ISERROR(SEARCH("figure",A151)))</formula>
    </cfRule>
    <cfRule type="cellIs" dxfId="184" priority="26" operator="equal">
      <formula>"fails"</formula>
    </cfRule>
    <cfRule type="cellIs" dxfId="183" priority="27" operator="equal">
      <formula>"ok"</formula>
    </cfRule>
  </conditionalFormatting>
  <conditionalFormatting sqref="A37:F38">
    <cfRule type="containsText" dxfId="182" priority="4" operator="containsText" text="figure">
      <formula>NOT(ISERROR(SEARCH("figure",A37)))</formula>
    </cfRule>
    <cfRule type="cellIs" dxfId="181" priority="5" operator="equal">
      <formula>"fails"</formula>
    </cfRule>
  </conditionalFormatting>
  <conditionalFormatting sqref="A162:F162">
    <cfRule type="containsText" dxfId="180" priority="241" operator="containsText" text="figure">
      <formula>NOT(ISERROR(SEARCH("figure",A162)))</formula>
    </cfRule>
    <cfRule type="cellIs" dxfId="179" priority="242" operator="equal">
      <formula>"fails"</formula>
    </cfRule>
    <cfRule type="cellIs" dxfId="178" priority="243" operator="equal">
      <formula>"ok"</formula>
    </cfRule>
  </conditionalFormatting>
  <conditionalFormatting sqref="A20:G20 G21">
    <cfRule type="containsText" dxfId="177" priority="296" operator="containsText" text="figure">
      <formula>NOT(ISERROR(SEARCH("figure",A20)))</formula>
    </cfRule>
    <cfRule type="cellIs" dxfId="176" priority="297" operator="equal">
      <formula>"fails"</formula>
    </cfRule>
    <cfRule type="cellIs" dxfId="175" priority="298" operator="equal">
      <formula>"ok"</formula>
    </cfRule>
  </conditionalFormatting>
  <conditionalFormatting sqref="A157:G159 D142:H142 D145:H145 A160:D160 F160:J160 A161:K161">
    <cfRule type="containsText" dxfId="174" priority="277" operator="containsText" text="figure">
      <formula>NOT(ISERROR(SEARCH("figure",A142)))</formula>
    </cfRule>
  </conditionalFormatting>
  <conditionalFormatting sqref="A107:K107 A108 A117:G120 K121 A128 A129:C129 E129:F129 A131:C131 F131">
    <cfRule type="containsText" dxfId="173" priority="156" operator="containsText" text="figure">
      <formula>NOT(ISERROR(SEARCH("figure",A107)))</formula>
    </cfRule>
    <cfRule type="cellIs" dxfId="172" priority="157" operator="equal">
      <formula>"fails"</formula>
    </cfRule>
    <cfRule type="cellIs" dxfId="171" priority="158" operator="equal">
      <formula>"ok"</formula>
    </cfRule>
  </conditionalFormatting>
  <conditionalFormatting sqref="B105">
    <cfRule type="containsText" dxfId="170" priority="159" operator="containsText" text="figure">
      <formula>NOT(ISERROR(SEARCH("figure",B105)))</formula>
    </cfRule>
    <cfRule type="cellIs" dxfId="169" priority="160" operator="equal">
      <formula>"fails"</formula>
    </cfRule>
    <cfRule type="cellIs" dxfId="168" priority="161" operator="equal">
      <formula>"ok"</formula>
    </cfRule>
  </conditionalFormatting>
  <conditionalFormatting sqref="B92:K92">
    <cfRule type="containsText" dxfId="167" priority="202" operator="containsText" text="figure">
      <formula>NOT(ISERROR(SEARCH("figure",B92)))</formula>
    </cfRule>
    <cfRule type="cellIs" dxfId="166" priority="203" operator="equal">
      <formula>"fails"</formula>
    </cfRule>
    <cfRule type="cellIs" dxfId="165" priority="204" operator="equal">
      <formula>"ok"</formula>
    </cfRule>
  </conditionalFormatting>
  <conditionalFormatting sqref="D82">
    <cfRule type="containsText" dxfId="164" priority="244" operator="containsText" text="figure">
      <formula>NOT(ISERROR(SEARCH("figure",D82)))</formula>
    </cfRule>
    <cfRule type="cellIs" dxfId="163" priority="245" operator="equal">
      <formula>"fails"</formula>
    </cfRule>
    <cfRule type="cellIs" dxfId="162" priority="246" operator="equal">
      <formula>"ok"</formula>
    </cfRule>
  </conditionalFormatting>
  <conditionalFormatting sqref="D141">
    <cfRule type="containsText" dxfId="161" priority="223" operator="containsText" text="figure">
      <formula>NOT(ISERROR(SEARCH("figure",D141)))</formula>
    </cfRule>
    <cfRule type="cellIs" dxfId="160" priority="224" operator="equal">
      <formula>"fails"</formula>
    </cfRule>
    <cfRule type="cellIs" dxfId="159" priority="225" operator="equal">
      <formula>"ok"</formula>
    </cfRule>
  </conditionalFormatting>
  <conditionalFormatting sqref="D144">
    <cfRule type="containsText" dxfId="158" priority="52" operator="containsText" text="figure">
      <formula>NOT(ISERROR(SEARCH("figure",D144)))</formula>
    </cfRule>
    <cfRule type="cellIs" dxfId="157" priority="53" operator="equal">
      <formula>"fails"</formula>
    </cfRule>
    <cfRule type="cellIs" dxfId="156" priority="54" operator="equal">
      <formula>"ok"</formula>
    </cfRule>
  </conditionalFormatting>
  <conditionalFormatting sqref="D93:E95">
    <cfRule type="containsText" dxfId="155" priority="253" operator="containsText" text="figure">
      <formula>NOT(ISERROR(SEARCH("figure",D93)))</formula>
    </cfRule>
    <cfRule type="cellIs" dxfId="154" priority="254" operator="equal">
      <formula>"fails"</formula>
    </cfRule>
    <cfRule type="cellIs" dxfId="153" priority="255" operator="equal">
      <formula>"ok"</formula>
    </cfRule>
  </conditionalFormatting>
  <conditionalFormatting sqref="D35:F36">
    <cfRule type="containsText" dxfId="152" priority="22" operator="containsText" text="figure">
      <formula>NOT(ISERROR(SEARCH("figure",D35)))</formula>
    </cfRule>
    <cfRule type="cellIs" dxfId="151" priority="23" operator="equal">
      <formula>"fails"</formula>
    </cfRule>
  </conditionalFormatting>
  <conditionalFormatting sqref="D35:F38">
    <cfRule type="cellIs" dxfId="150" priority="12" operator="equal">
      <formula>"ok"</formula>
    </cfRule>
  </conditionalFormatting>
  <conditionalFormatting sqref="D142:H142 D145:H145 A157:G159 A160:D160 F160:J160 A161:K161">
    <cfRule type="cellIs" dxfId="149" priority="278" operator="equal">
      <formula>"fails"</formula>
    </cfRule>
    <cfRule type="cellIs" dxfId="148" priority="279" operator="equal">
      <formula>"ok"</formula>
    </cfRule>
  </conditionalFormatting>
  <conditionalFormatting sqref="D150:H150">
    <cfRule type="containsText" dxfId="147" priority="40" operator="containsText" text="figure">
      <formula>NOT(ISERROR(SEARCH("figure",D150)))</formula>
    </cfRule>
    <cfRule type="cellIs" dxfId="146" priority="41" operator="equal">
      <formula>"fails"</formula>
    </cfRule>
    <cfRule type="cellIs" dxfId="145" priority="42" operator="equal">
      <formula>"ok"</formula>
    </cfRule>
  </conditionalFormatting>
  <conditionalFormatting sqref="E29:E32">
    <cfRule type="containsText" dxfId="144" priority="198" operator="containsText" text="figure">
      <formula>NOT(ISERROR(SEARCH("figure",E29)))</formula>
    </cfRule>
  </conditionalFormatting>
  <conditionalFormatting sqref="E133:E136">
    <cfRule type="containsText" dxfId="143" priority="123" operator="containsText" text="figure">
      <formula>NOT(ISERROR(SEARCH("figure",E133)))</formula>
    </cfRule>
    <cfRule type="cellIs" dxfId="142" priority="124" operator="equal">
      <formula>"fails"</formula>
    </cfRule>
    <cfRule type="cellIs" dxfId="141" priority="125" operator="equal">
      <formula>"ok"</formula>
    </cfRule>
  </conditionalFormatting>
  <conditionalFormatting sqref="E15:J16 K17 H25:J25 E26:J27 K27:K28">
    <cfRule type="cellIs" dxfId="139" priority="294" operator="equal">
      <formula>"fails"</formula>
    </cfRule>
    <cfRule type="cellIs" dxfId="138" priority="295" operator="equal">
      <formula>"ok"</formula>
    </cfRule>
  </conditionalFormatting>
  <conditionalFormatting sqref="F95:F96 A96">
    <cfRule type="containsText" dxfId="136" priority="168" operator="containsText" text="figure">
      <formula>NOT(ISERROR(SEARCH("figure",A95)))</formula>
    </cfRule>
  </conditionalFormatting>
  <conditionalFormatting sqref="F95:F96">
    <cfRule type="cellIs" dxfId="135" priority="167" operator="equal">
      <formula>"ok"</formula>
    </cfRule>
    <cfRule type="cellIs" dxfId="134" priority="170" operator="equal">
      <formula>"fails"</formula>
    </cfRule>
  </conditionalFormatting>
  <conditionalFormatting sqref="F96">
    <cfRule type="containsText" dxfId="133" priority="165" operator="containsText" text="figure">
      <formula>NOT(ISERROR(SEARCH("figure",F96)))</formula>
    </cfRule>
    <cfRule type="cellIs" dxfId="132" priority="166" operator="equal">
      <formula>"fails"</formula>
    </cfRule>
  </conditionalFormatting>
  <conditionalFormatting sqref="F136">
    <cfRule type="containsText" dxfId="131" priority="117" operator="containsText" text="figure">
      <formula>NOT(ISERROR(SEARCH("figure",F136)))</formula>
    </cfRule>
    <cfRule type="cellIs" dxfId="130" priority="118" operator="equal">
      <formula>"fails"</formula>
    </cfRule>
    <cfRule type="cellIs" dxfId="129" priority="119" operator="equal">
      <formula>"ok"</formula>
    </cfRule>
  </conditionalFormatting>
  <conditionalFormatting sqref="F140:F141">
    <cfRule type="containsText" dxfId="128" priority="217" operator="containsText" text="figure">
      <formula>NOT(ISERROR(SEARCH("figure",F140)))</formula>
    </cfRule>
    <cfRule type="cellIs" dxfId="127" priority="218" operator="equal">
      <formula>"fails"</formula>
    </cfRule>
    <cfRule type="cellIs" dxfId="126" priority="219" operator="equal">
      <formula>"ok"</formula>
    </cfRule>
  </conditionalFormatting>
  <conditionalFormatting sqref="F143:F144">
    <cfRule type="containsText" dxfId="125" priority="46" operator="containsText" text="figure">
      <formula>NOT(ISERROR(SEARCH("figure",F143)))</formula>
    </cfRule>
    <cfRule type="cellIs" dxfId="124" priority="47" operator="equal">
      <formula>"fails"</formula>
    </cfRule>
    <cfRule type="cellIs" dxfId="123" priority="48" operator="equal">
      <formula>"ok"</formula>
    </cfRule>
  </conditionalFormatting>
  <conditionalFormatting sqref="G158:H158">
    <cfRule type="containsText" dxfId="122" priority="271" operator="containsText" text="figure">
      <formula>NOT(ISERROR(SEARCH("figure",G158)))</formula>
    </cfRule>
    <cfRule type="cellIs" dxfId="121" priority="272" operator="equal">
      <formula>"fails"</formula>
    </cfRule>
    <cfRule type="cellIs" dxfId="120" priority="273" operator="equal">
      <formula>"ok"</formula>
    </cfRule>
  </conditionalFormatting>
  <conditionalFormatting sqref="J36">
    <cfRule type="containsText" dxfId="119" priority="7" operator="containsText" text="figure">
      <formula>NOT(ISERROR(SEARCH("figure",J36)))</formula>
    </cfRule>
    <cfRule type="cellIs" dxfId="118" priority="8" operator="equal">
      <formula>"fails"</formula>
    </cfRule>
    <cfRule type="cellIs" dxfId="117" priority="9" operator="equal">
      <formula>"ok"</formula>
    </cfRule>
  </conditionalFormatting>
  <conditionalFormatting sqref="J46 I65 J66:K66 J89 J93:K98 G99 J100:K103 J106:K106 A138:C138 E138:F138 J140 A140:A141 F149 D156:K156">
    <cfRule type="containsText" dxfId="116" priority="280" operator="containsText" text="figure">
      <formula>NOT(ISERROR(SEARCH("figure",A46)))</formula>
    </cfRule>
    <cfRule type="cellIs" dxfId="115" priority="281" operator="equal">
      <formula>"fails"</formula>
    </cfRule>
    <cfRule type="cellIs" dxfId="114" priority="282" operator="equal">
      <formula>"ok"</formula>
    </cfRule>
  </conditionalFormatting>
  <conditionalFormatting sqref="K140:K145 J143 A143:A144">
    <cfRule type="containsText" dxfId="112" priority="58" operator="containsText" text="figure">
      <formula>NOT(ISERROR(SEARCH("figure",A140)))</formula>
    </cfRule>
    <cfRule type="cellIs" dxfId="111" priority="59" operator="equal">
      <formula>"fails"</formula>
    </cfRule>
    <cfRule type="cellIs" dxfId="110" priority="60" operator="equal">
      <formula>"ok"</formula>
    </cfRule>
  </conditionalFormatting>
  <conditionalFormatting sqref="N145:Q147">
    <cfRule type="containsText" dxfId="109" priority="211" operator="containsText" text="figure">
      <formula>NOT(ISERROR(SEARCH("figure",N145)))</formula>
    </cfRule>
    <cfRule type="cellIs" dxfId="108" priority="212" operator="equal">
      <formula>"fails"</formula>
    </cfRule>
    <cfRule type="cellIs" dxfId="107" priority="213" operator="equal">
      <formula>"ok"</formula>
    </cfRule>
  </conditionalFormatting>
  <conditionalFormatting sqref="N147:Q147">
    <cfRule type="containsText" dxfId="106" priority="214" operator="containsText" text="figure">
      <formula>NOT(ISERROR(SEARCH("figure",N147)))</formula>
    </cfRule>
    <cfRule type="cellIs" dxfId="105" priority="215" operator="equal">
      <formula>"fails"</formula>
    </cfRule>
  </conditionalFormatting>
  <conditionalFormatting sqref="N149:Q151">
    <cfRule type="containsText" dxfId="104" priority="28" operator="containsText" text="figure">
      <formula>NOT(ISERROR(SEARCH("figure",N149)))</formula>
    </cfRule>
    <cfRule type="cellIs" dxfId="103" priority="29" operator="equal">
      <formula>"fails"</formula>
    </cfRule>
    <cfRule type="cellIs" dxfId="102" priority="30" operator="equal">
      <formula>"ok"</formula>
    </cfRule>
  </conditionalFormatting>
  <conditionalFormatting sqref="N151:Q151">
    <cfRule type="containsText" dxfId="101" priority="31" operator="containsText" text="figure">
      <formula>NOT(ISERROR(SEARCH("figure",N151)))</formula>
    </cfRule>
    <cfRule type="cellIs" dxfId="100" priority="32" operator="equal">
      <formula>"fails"</formula>
    </cfRule>
  </conditionalFormatting>
  <conditionalFormatting sqref="Y64">
    <cfRule type="containsText" dxfId="99" priority="61" operator="containsText" text="figure">
      <formula>NOT(ISERROR(SEARCH("figure",Y64)))</formula>
    </cfRule>
    <cfRule type="cellIs" dxfId="98" priority="62" operator="equal">
      <formula>"fails"</formula>
    </cfRule>
    <cfRule type="cellIs" dxfId="97" priority="63" operator="equal">
      <formula>"ok"</formula>
    </cfRule>
  </conditionalFormatting>
  <conditionalFormatting sqref="Y93">
    <cfRule type="containsText" dxfId="96" priority="90" operator="containsText" text="figure">
      <formula>NOT(ISERROR(SEARCH("figure",Y93)))</formula>
    </cfRule>
    <cfRule type="cellIs" dxfId="95" priority="91" operator="equal">
      <formula>"fails"</formula>
    </cfRule>
    <cfRule type="cellIs" dxfId="94" priority="92" operator="equal">
      <formula>"ok"</formula>
    </cfRule>
  </conditionalFormatting>
  <conditionalFormatting sqref="Y96">
    <cfRule type="cellIs" dxfId="93" priority="84" operator="equal">
      <formula>"fails"</formula>
    </cfRule>
    <cfRule type="cellIs" dxfId="92" priority="85" operator="equal">
      <formula>"ok"</formula>
    </cfRule>
  </conditionalFormatting>
  <conditionalFormatting sqref="Y110:AA110 AI110">
    <cfRule type="containsText" dxfId="91" priority="67" operator="containsText" text="figure">
      <formula>NOT(ISERROR(SEARCH("figure",Y110)))</formula>
    </cfRule>
    <cfRule type="cellIs" dxfId="90" priority="68" operator="equal">
      <formula>"fails"</formula>
    </cfRule>
    <cfRule type="cellIs" dxfId="89" priority="69" operator="equal">
      <formula>"ok"</formula>
    </cfRule>
  </conditionalFormatting>
  <conditionalFormatting sqref="AB93:AC95">
    <cfRule type="containsText" dxfId="88" priority="93" operator="containsText" text="figure">
      <formula>NOT(ISERROR(SEARCH("figure",AB93)))</formula>
    </cfRule>
    <cfRule type="cellIs" dxfId="87" priority="94" operator="equal">
      <formula>"fails"</formula>
    </cfRule>
    <cfRule type="cellIs" dxfId="86" priority="95" operator="equal">
      <formula>"ok"</formula>
    </cfRule>
  </conditionalFormatting>
  <conditionalFormatting sqref="AC108 AB109:AC109">
    <cfRule type="containsText" dxfId="85" priority="73" operator="containsText" text="figure">
      <formula>NOT(ISERROR(SEARCH("figure",AB108)))</formula>
    </cfRule>
    <cfRule type="cellIs" dxfId="84" priority="74" operator="equal">
      <formula>"fails"</formula>
    </cfRule>
    <cfRule type="cellIs" dxfId="83" priority="75" operator="equal">
      <formula>"ok"</formula>
    </cfRule>
  </conditionalFormatting>
  <conditionalFormatting sqref="AD95:AD96 Y96">
    <cfRule type="containsText" dxfId="82" priority="79" operator="containsText" text="figure">
      <formula>NOT(ISERROR(SEARCH("figure",Y95)))</formula>
    </cfRule>
  </conditionalFormatting>
  <conditionalFormatting sqref="AD95:AD96">
    <cfRule type="cellIs" dxfId="81" priority="78" operator="equal">
      <formula>"ok"</formula>
    </cfRule>
    <cfRule type="cellIs" dxfId="80" priority="81" operator="equal">
      <formula>"fails"</formula>
    </cfRule>
  </conditionalFormatting>
  <conditionalFormatting sqref="AD96">
    <cfRule type="containsText" dxfId="79" priority="76" operator="containsText" text="figure">
      <formula>NOT(ISERROR(SEARCH("figure",AD96)))</formula>
    </cfRule>
    <cfRule type="cellIs" dxfId="78" priority="77" operator="equal">
      <formula>"fails"</formula>
    </cfRule>
  </conditionalFormatting>
  <conditionalFormatting sqref="AH98:AI98 AH99">
    <cfRule type="containsText" dxfId="77" priority="70" operator="containsText" text="figure">
      <formula>NOT(ISERROR(SEARCH("figure",AH98)))</formula>
    </cfRule>
    <cfRule type="cellIs" dxfId="76" priority="71" operator="equal">
      <formula>"fails"</formula>
    </cfRule>
    <cfRule type="cellIs" dxfId="75" priority="72" operator="equal">
      <formula>"ok"</formula>
    </cfRule>
  </conditionalFormatting>
  <pageMargins left="1" right="1" top="1" bottom="1" header="0.7" footer="0.7"/>
  <pageSetup scale="90" firstPageNumber="15" orientation="portrait" useFirstPageNumber="1" r:id="rId1"/>
  <headerFooter>
    <oddHeader>&amp;L&amp;"Arial,Italic"&amp;9EXAMPLE 6.4 - OVERHANG DESIGN&amp;"-,Regular"&amp;11
===============================================================================================&amp;R&amp;"Arial,Italic"&amp;9&amp;P</oddHeader>
    <oddFooter>&amp;L===============================================================================================
&amp;"Arial,Italic"&amp;9CDOT Bridge Design Manual&amp;R
&amp;"Arial,Italic"&amp;9February 2024</oddFooter>
  </headerFooter>
  <rowBreaks count="1" manualBreakCount="1">
    <brk id="113" max="9" man="1"/>
  </rowBreaks>
  <drawing r:id="rId2"/>
  <extLst>
    <ext xmlns:x14="http://schemas.microsoft.com/office/spreadsheetml/2009/9/main" uri="{78C0D931-6437-407d-A8EE-F0AAD7539E65}">
      <x14:conditionalFormattings>
        <x14:conditionalFormatting xmlns:xm="http://schemas.microsoft.com/office/excel/2006/main">
          <x14:cfRule type="containsText" priority="289" operator="containsText" text="figure" id="{FD7D08E1-26FF-4A49-84B4-D45C8A352EB0}">
            <xm:f>NOT(ISERROR(SEARCH("figure",'\Users\sam\Library\Containers\com.microsoft.Excel\Data\Documents\C:\Users\rasmussens\Documents\Projects\23061 SH64 Bridge Replacement\Design Calculations\Preliminary\[23061 - D-04-GA- Deck Design.xlsx]Deck'!#REF!)))</xm:f>
            <x14:dxf>
              <font>
                <color rgb="FF0000FF"/>
              </font>
              <fill>
                <patternFill patternType="none">
                  <bgColor auto="1"/>
                </patternFill>
              </fill>
            </x14:dxf>
          </x14:cfRule>
          <xm:sqref>A15:C15 E15:J15 H16:J16 K17 E25:J26 K27</xm:sqref>
        </x14:conditionalFormatting>
        <x14:conditionalFormatting xmlns:xm="http://schemas.microsoft.com/office/excel/2006/main">
          <x14:cfRule type="containsText" priority="309" operator="containsText" text="figure" id="{00FD5562-FA70-486B-9877-B081EE8C9CE9}">
            <xm:f>NOT(ISERROR(SEARCH("figure",'\Users\sam\Library\Containers\com.microsoft.Excel\Data\Documents\C:\Users\rasmussens\Documents\Projects\23061 SH64 Bridge Replacement\Design Calculations\Preliminary\[23061 - D-04-GA- Deck Design.xlsx]Deck'!#REF!)))</xm:f>
            <x14:dxf>
              <font>
                <color rgb="FF0000FF"/>
              </font>
              <fill>
                <patternFill patternType="none">
                  <bgColor auto="1"/>
                </patternFill>
              </fill>
            </x14:dxf>
          </x14:cfRule>
          <xm:sqref>A25:C27</xm:sqref>
        </x14:conditionalFormatting>
        <x14:conditionalFormatting xmlns:xm="http://schemas.microsoft.com/office/excel/2006/main">
          <x14:cfRule type="containsText" priority="308" operator="containsText" text="figure" id="{55826873-666C-4717-B881-064A877BDFEA}">
            <xm:f>NOT(ISERROR(SEARCH("figure",'\Users\sam\Library\Containers\com.microsoft.Excel\Data\Documents\C:\Users\rasmussens\Documents\Projects\23061 SH64 Bridge Replacement\Design Calculations\Preliminary\[23061 - D-04-GA- Deck Design.xlsx]Deck'!#REF!)))</xm:f>
            <x14:dxf>
              <font>
                <color rgb="FF0000FF"/>
              </font>
              <fill>
                <patternFill patternType="none">
                  <bgColor auto="1"/>
                </patternFill>
              </fill>
            </x14:dxf>
          </x14:cfRule>
          <xm:sqref>E16:G16 A16:C16</xm:sqref>
        </x14:conditionalFormatting>
        <x14:conditionalFormatting xmlns:xm="http://schemas.microsoft.com/office/excel/2006/main">
          <x14:cfRule type="containsText" priority="310" operator="containsText" text="figure" id="{2073C693-8DA6-4240-8653-3F2F97A3C81D}">
            <xm:f>NOT(ISERROR(SEARCH("figure",'\Users\sam\Library\Containers\com.microsoft.Excel\Data\Documents\C:\Users\rasmussens\Documents\Projects\23061 SH64 Bridge Replacement\Design Calculations\Preliminary\[23061 - D-04-GA- Deck Design.xlsx]Deck'!#REF!)))</xm:f>
            <x14:dxf>
              <font>
                <color rgb="FF0000FF"/>
              </font>
              <fill>
                <patternFill patternType="none">
                  <bgColor auto="1"/>
                </patternFill>
              </fill>
            </x14:dxf>
          </x14:cfRule>
          <xm:sqref>E27:J27</xm:sqref>
        </x14:conditionalFormatting>
        <x14:conditionalFormatting xmlns:xm="http://schemas.microsoft.com/office/excel/2006/main">
          <x14:cfRule type="containsText" priority="307" operator="containsText" text="figure" id="{EF3003B0-EF87-451E-9ACA-1174C5556932}">
            <xm:f>NOT(ISERROR(SEARCH("figure",'\Users\sam\Library\Containers\com.microsoft.Excel\Data\Documents\C:\Users\rasmussens\Documents\Projects\23061 SH64 Bridge Replacement\Design Calculations\Preliminary\[23061 - D-04-GA- Deck Design.xlsx]Deck'!#REF!)))</xm:f>
            <x14:dxf>
              <font>
                <color rgb="FF0000FF"/>
              </font>
              <fill>
                <patternFill patternType="none">
                  <bgColor auto="1"/>
                </patternFill>
              </fill>
            </x14:dxf>
          </x14:cfRule>
          <xm:sqref>K28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zoomScale="117" zoomScaleNormal="117" workbookViewId="0">
      <selection activeCell="L59" sqref="L59"/>
    </sheetView>
  </sheetViews>
  <sheetFormatPr defaultColWidth="8.85546875" defaultRowHeight="12"/>
  <cols>
    <col min="1" max="1" width="8.85546875" style="2"/>
    <col min="2" max="2" width="11.42578125" style="2" customWidth="1"/>
    <col min="3" max="3" width="8.85546875" style="2"/>
    <col min="4" max="4" width="12.28515625" style="2" customWidth="1"/>
    <col min="5" max="5" width="6.7109375" style="2" customWidth="1"/>
    <col min="6" max="6" width="7" style="2" customWidth="1"/>
    <col min="7" max="7" width="8.85546875" style="2"/>
    <col min="8" max="8" width="9" style="2" customWidth="1"/>
    <col min="9" max="26" width="8.85546875" style="2"/>
    <col min="27" max="27" width="18.85546875" style="2" bestFit="1" customWidth="1"/>
    <col min="28" max="16384" width="8.85546875" style="2"/>
  </cols>
  <sheetData>
    <row r="1" spans="8:8" ht="15.75">
      <c r="H1" s="14" t="s">
        <v>741</v>
      </c>
    </row>
    <row r="25" spans="1:8">
      <c r="A25" s="185" t="s">
        <v>677</v>
      </c>
      <c r="B25" s="186"/>
      <c r="C25" s="183" t="s">
        <v>679</v>
      </c>
      <c r="D25" s="183" t="s">
        <v>680</v>
      </c>
      <c r="E25" s="183" t="s">
        <v>681</v>
      </c>
      <c r="F25" s="183" t="s">
        <v>682</v>
      </c>
      <c r="G25" s="183" t="s">
        <v>685</v>
      </c>
      <c r="H25" s="183" t="s">
        <v>683</v>
      </c>
    </row>
    <row r="26" spans="1:8">
      <c r="A26" s="186"/>
      <c r="B26" s="186"/>
      <c r="C26" s="184"/>
      <c r="D26" s="184"/>
      <c r="E26" s="184"/>
      <c r="F26" s="184"/>
      <c r="G26" s="184"/>
      <c r="H26" s="184"/>
    </row>
    <row r="27" spans="1:8" ht="11.45" customHeight="1">
      <c r="A27" s="2" t="s">
        <v>678</v>
      </c>
      <c r="C27" s="9">
        <v>19.02</v>
      </c>
      <c r="D27" s="29">
        <f>18-1.5-3</f>
        <v>13.5</v>
      </c>
      <c r="E27" s="29">
        <v>10</v>
      </c>
      <c r="F27" s="9">
        <v>2</v>
      </c>
      <c r="G27" s="29">
        <f>E27*F27*C27</f>
        <v>380.4</v>
      </c>
      <c r="H27" s="29">
        <f>G27*D27</f>
        <v>5135.3999999999996</v>
      </c>
    </row>
    <row r="28" spans="1:8">
      <c r="A28" s="2" t="s">
        <v>684</v>
      </c>
      <c r="C28" s="29">
        <v>20</v>
      </c>
      <c r="D28" s="9">
        <f>18-4.5-3-6.2*0.5</f>
        <v>7.4</v>
      </c>
      <c r="E28" s="9">
        <v>2.339</v>
      </c>
      <c r="F28" s="9">
        <v>1</v>
      </c>
      <c r="G28" s="29">
        <f>E28*F28*C28</f>
        <v>46.78</v>
      </c>
      <c r="H28" s="29">
        <f>G28*D28</f>
        <v>346.17200000000003</v>
      </c>
    </row>
    <row r="29" spans="1:8">
      <c r="A29" s="2" t="s">
        <v>740</v>
      </c>
      <c r="C29" s="29">
        <f>490*10.5*3/(4*144)</f>
        <v>26.796875</v>
      </c>
      <c r="D29" s="9">
        <f>3+5.25</f>
        <v>8.25</v>
      </c>
      <c r="E29" s="29">
        <v>0.75</v>
      </c>
      <c r="F29" s="9">
        <v>1</v>
      </c>
      <c r="G29" s="29">
        <f>E29*F29*C29</f>
        <v>20.09765625</v>
      </c>
      <c r="H29" s="29">
        <f>G29*D29</f>
        <v>165.8056640625</v>
      </c>
    </row>
    <row r="30" spans="1:8">
      <c r="C30" s="9"/>
      <c r="D30" s="9"/>
      <c r="E30" s="9"/>
      <c r="F30" s="9" t="s">
        <v>686</v>
      </c>
      <c r="G30" s="32">
        <f>G27+G28+G29</f>
        <v>447.27765624999995</v>
      </c>
      <c r="H30" s="32">
        <f>H27+H28+H29</f>
        <v>5647.3776640625001</v>
      </c>
    </row>
    <row r="31" spans="1:8" ht="15" customHeight="1">
      <c r="C31" s="9"/>
      <c r="D31" s="9"/>
      <c r="E31" s="9"/>
      <c r="F31" s="9"/>
      <c r="G31" s="9"/>
    </row>
    <row r="32" spans="1:8">
      <c r="B32" s="2" t="s">
        <v>687</v>
      </c>
      <c r="D32" s="103">
        <f>H30/G30</f>
        <v>12.626111734286974</v>
      </c>
      <c r="E32" s="2" t="s">
        <v>52</v>
      </c>
    </row>
  </sheetData>
  <mergeCells count="7">
    <mergeCell ref="H25:H26"/>
    <mergeCell ref="A25:B26"/>
    <mergeCell ref="C25:C26"/>
    <mergeCell ref="D25:D26"/>
    <mergeCell ref="E25:E26"/>
    <mergeCell ref="F25:F26"/>
    <mergeCell ref="G25:G26"/>
  </mergeCells>
  <conditionalFormatting sqref="B38">
    <cfRule type="containsText" dxfId="74" priority="5" operator="containsText" text="figure">
      <formula>NOT(ISERROR(SEARCH("figure",B38)))</formula>
    </cfRule>
    <cfRule type="cellIs" dxfId="73" priority="7" operator="equal">
      <formula>"fails"</formula>
    </cfRule>
    <cfRule type="cellIs" dxfId="72" priority="8" operator="equal">
      <formula>"ok"</formula>
    </cfRule>
  </conditionalFormatting>
  <conditionalFormatting sqref="H1">
    <cfRule type="containsText" dxfId="71" priority="9" operator="containsText" text="figure">
      <formula>NOT(ISERROR(SEARCH("figure",H1)))</formula>
    </cfRule>
    <cfRule type="cellIs" dxfId="70" priority="10" operator="equal">
      <formula>"fails"</formula>
    </cfRule>
    <cfRule type="cellIs" dxfId="69" priority="11" operator="equal">
      <formula>"ok"</formula>
    </cfRule>
  </conditionalFormatting>
  <conditionalFormatting sqref="J35">
    <cfRule type="containsText" dxfId="68" priority="1" operator="containsText" text="figure">
      <formula>NOT(ISERROR(SEARCH("figure",J35)))</formula>
    </cfRule>
    <cfRule type="cellIs" dxfId="67" priority="3" operator="equal">
      <formula>"fails"</formula>
    </cfRule>
    <cfRule type="cellIs" dxfId="66" priority="4" operator="equal">
      <formula>"ok"</formula>
    </cfRule>
  </conditionalFormatting>
  <pageMargins left="1" right="1" top="1" bottom="1" header="0.7" footer="0.7"/>
  <pageSetup scale="90" firstPageNumber="18" orientation="portrait" useFirstPageNumber="1" r:id="rId1"/>
  <headerFooter>
    <oddHeader>&amp;L&amp;"Arial,Italic"&amp;9EXAMPLE 6 - BARRIER TYPE 10 MASH CG&amp;"-,Regular"&amp;11
===============================================================================================&amp;R&amp;"Arial,Italic"&amp;9&amp;P</oddHeader>
    <oddFooter>&amp;L===============================================================================================
&amp;"Arial,Italic"&amp;9CDOT Bridge Design Manual&amp;R
&amp;"Arial,Italic"&amp;9February 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7"/>
  <sheetViews>
    <sheetView view="pageBreakPreview" zoomScale="60" zoomScaleNormal="115" workbookViewId="0">
      <selection activeCell="I18" sqref="I18"/>
    </sheetView>
  </sheetViews>
  <sheetFormatPr defaultColWidth="7.5703125" defaultRowHeight="11.45" customHeight="1"/>
  <cols>
    <col min="1" max="8" width="7.5703125" style="2"/>
    <col min="9" max="9" width="7.42578125" style="2" customWidth="1"/>
    <col min="10" max="10" width="8" style="2" customWidth="1"/>
    <col min="11" max="11" width="7.5703125" style="2"/>
    <col min="12" max="12" width="8.140625" style="2" customWidth="1"/>
    <col min="13" max="14" width="7.5703125" style="2"/>
    <col min="15" max="15" width="8.5703125" style="2" customWidth="1"/>
    <col min="16" max="16" width="8.42578125" style="2" bestFit="1" customWidth="1"/>
    <col min="17" max="16384" width="7.5703125" style="2"/>
  </cols>
  <sheetData>
    <row r="1" spans="1:15" ht="15.6" customHeight="1">
      <c r="K1" s="14" t="s">
        <v>582</v>
      </c>
    </row>
    <row r="2" spans="1:15" ht="12.95" customHeight="1">
      <c r="A2" s="1" t="s">
        <v>50</v>
      </c>
      <c r="M2" s="2" t="s">
        <v>47</v>
      </c>
      <c r="N2" s="2" t="s">
        <v>48</v>
      </c>
      <c r="O2" s="2" t="s">
        <v>49</v>
      </c>
    </row>
    <row r="3" spans="1:15" ht="15.75" customHeight="1">
      <c r="A3" s="156" t="s">
        <v>676</v>
      </c>
      <c r="B3" s="157"/>
      <c r="C3" s="157"/>
      <c r="D3" s="157"/>
      <c r="E3" s="157"/>
      <c r="F3" s="157"/>
      <c r="G3" s="157"/>
      <c r="H3" s="157"/>
      <c r="I3" s="157"/>
      <c r="J3" s="157"/>
      <c r="K3" s="157"/>
      <c r="M3" s="2">
        <v>3</v>
      </c>
      <c r="N3" s="2">
        <v>0.11</v>
      </c>
      <c r="O3" s="2">
        <v>0.375</v>
      </c>
    </row>
    <row r="4" spans="1:15" ht="11.45" customHeight="1">
      <c r="A4" s="157"/>
      <c r="B4" s="157"/>
      <c r="C4" s="157"/>
      <c r="D4" s="157"/>
      <c r="E4" s="157"/>
      <c r="F4" s="157"/>
      <c r="G4" s="157"/>
      <c r="H4" s="157"/>
      <c r="I4" s="157"/>
      <c r="J4" s="157"/>
      <c r="K4" s="157"/>
      <c r="M4" s="2">
        <v>4</v>
      </c>
      <c r="N4" s="2">
        <v>0.2</v>
      </c>
      <c r="O4" s="2">
        <v>0.5</v>
      </c>
    </row>
    <row r="5" spans="1:15" ht="11.45" customHeight="1">
      <c r="A5" s="157"/>
      <c r="B5" s="157"/>
      <c r="C5" s="157"/>
      <c r="D5" s="157"/>
      <c r="E5" s="157"/>
      <c r="F5" s="157"/>
      <c r="G5" s="157"/>
      <c r="H5" s="157"/>
      <c r="I5" s="157"/>
      <c r="J5" s="157"/>
      <c r="K5" s="157"/>
      <c r="M5" s="2">
        <v>5</v>
      </c>
      <c r="N5" s="2">
        <v>0.31</v>
      </c>
      <c r="O5" s="2">
        <v>0.625</v>
      </c>
    </row>
    <row r="6" spans="1:15" ht="11.45" customHeight="1">
      <c r="A6" s="157"/>
      <c r="B6" s="157"/>
      <c r="C6" s="157"/>
      <c r="D6" s="157"/>
      <c r="E6" s="157"/>
      <c r="F6" s="157"/>
      <c r="G6" s="157"/>
      <c r="H6" s="157"/>
      <c r="I6" s="157"/>
      <c r="J6" s="157"/>
      <c r="K6" s="157"/>
      <c r="M6" s="2">
        <v>6</v>
      </c>
      <c r="N6" s="2">
        <v>0.44</v>
      </c>
      <c r="O6" s="2">
        <v>0.75</v>
      </c>
    </row>
    <row r="7" spans="1:15" ht="11.45" customHeight="1">
      <c r="A7" s="157"/>
      <c r="B7" s="157"/>
      <c r="C7" s="157"/>
      <c r="D7" s="157"/>
      <c r="E7" s="157"/>
      <c r="F7" s="157"/>
      <c r="G7" s="157"/>
      <c r="H7" s="157"/>
      <c r="I7" s="157"/>
      <c r="J7" s="157"/>
      <c r="K7" s="157"/>
      <c r="M7" s="2">
        <v>7</v>
      </c>
      <c r="N7" s="2">
        <v>0.6</v>
      </c>
      <c r="O7" s="2">
        <v>0.875</v>
      </c>
    </row>
    <row r="8" spans="1:15" ht="11.45" customHeight="1">
      <c r="A8" s="157"/>
      <c r="B8" s="157"/>
      <c r="C8" s="157"/>
      <c r="D8" s="157"/>
      <c r="E8" s="157"/>
      <c r="F8" s="157"/>
      <c r="G8" s="157"/>
      <c r="H8" s="157"/>
      <c r="I8" s="157"/>
      <c r="J8" s="157"/>
      <c r="K8" s="157"/>
      <c r="M8" s="2">
        <v>8</v>
      </c>
      <c r="N8" s="2">
        <v>0.79</v>
      </c>
      <c r="O8" s="2">
        <v>1</v>
      </c>
    </row>
    <row r="9" spans="1:15" ht="11.45" customHeight="1">
      <c r="A9" s="2" t="s">
        <v>51</v>
      </c>
      <c r="D9" s="2" t="s">
        <v>446</v>
      </c>
      <c r="E9" s="3">
        <v>35</v>
      </c>
      <c r="F9" s="2" t="s">
        <v>52</v>
      </c>
      <c r="M9" s="2">
        <v>9</v>
      </c>
      <c r="N9" s="2">
        <v>1</v>
      </c>
      <c r="O9" s="2">
        <v>1.1279999999999999</v>
      </c>
    </row>
    <row r="10" spans="1:15" ht="11.45" customHeight="1">
      <c r="A10" s="2" t="s">
        <v>262</v>
      </c>
      <c r="D10" s="2" t="s">
        <v>548</v>
      </c>
      <c r="E10" s="3">
        <v>4.5</v>
      </c>
      <c r="F10" s="2" t="s">
        <v>583</v>
      </c>
      <c r="M10" s="2">
        <v>10</v>
      </c>
      <c r="N10" s="2">
        <v>1.27</v>
      </c>
      <c r="O10" s="2">
        <v>1.27</v>
      </c>
    </row>
    <row r="11" spans="1:15" ht="11.45" customHeight="1">
      <c r="A11" s="2" t="s">
        <v>263</v>
      </c>
      <c r="D11" s="2" t="s">
        <v>549</v>
      </c>
      <c r="E11" s="3">
        <v>60</v>
      </c>
      <c r="F11" s="2" t="s">
        <v>584</v>
      </c>
      <c r="M11" s="2">
        <v>11</v>
      </c>
      <c r="N11" s="2">
        <v>1.56</v>
      </c>
      <c r="O11" s="2">
        <v>1.41</v>
      </c>
    </row>
    <row r="12" spans="1:15" ht="11.45" customHeight="1">
      <c r="A12" s="2" t="s">
        <v>53</v>
      </c>
      <c r="D12" s="2" t="s">
        <v>54</v>
      </c>
      <c r="E12" s="3">
        <v>2</v>
      </c>
      <c r="F12" s="2" t="s">
        <v>52</v>
      </c>
      <c r="M12" s="2">
        <v>12</v>
      </c>
      <c r="N12" s="2">
        <v>1.76</v>
      </c>
      <c r="O12" s="2">
        <v>1.5</v>
      </c>
    </row>
    <row r="13" spans="1:15" ht="11.45" customHeight="1">
      <c r="A13" s="2" t="s">
        <v>585</v>
      </c>
      <c r="D13" s="2" t="s">
        <v>644</v>
      </c>
      <c r="E13" s="3">
        <v>1</v>
      </c>
      <c r="F13" s="2" t="s">
        <v>55</v>
      </c>
      <c r="K13" s="4" t="s">
        <v>56</v>
      </c>
      <c r="M13" s="2">
        <v>14</v>
      </c>
      <c r="N13" s="2">
        <v>2.25</v>
      </c>
      <c r="O13" s="2">
        <v>1.6930000000000001</v>
      </c>
    </row>
    <row r="14" spans="1:15" ht="11.45" customHeight="1">
      <c r="A14" s="2" t="s">
        <v>60</v>
      </c>
      <c r="E14" s="49" t="s">
        <v>61</v>
      </c>
      <c r="K14" s="4" t="s">
        <v>586</v>
      </c>
      <c r="M14" s="2">
        <v>18</v>
      </c>
      <c r="N14" s="2">
        <v>4</v>
      </c>
      <c r="O14" s="2">
        <v>2.2570000000000001</v>
      </c>
    </row>
    <row r="15" spans="1:15" ht="11.45" customHeight="1">
      <c r="A15" s="2" t="s">
        <v>63</v>
      </c>
      <c r="D15" s="2" t="s">
        <v>449</v>
      </c>
      <c r="E15" s="3">
        <v>54</v>
      </c>
      <c r="F15" s="2" t="s">
        <v>64</v>
      </c>
    </row>
    <row r="16" spans="1:15" ht="11.45" customHeight="1">
      <c r="A16" s="2" t="s">
        <v>65</v>
      </c>
      <c r="D16" s="2" t="s">
        <v>450</v>
      </c>
      <c r="E16" s="3">
        <v>3.5</v>
      </c>
      <c r="F16" s="2" t="s">
        <v>66</v>
      </c>
    </row>
    <row r="23" spans="5:11" ht="11.45" customHeight="1">
      <c r="E23" s="51" t="s">
        <v>587</v>
      </c>
    </row>
    <row r="24" spans="5:11" ht="11.45" customHeight="1">
      <c r="H24" s="64" t="s">
        <v>588</v>
      </c>
      <c r="I24" s="64" t="s">
        <v>589</v>
      </c>
      <c r="J24" s="64" t="s">
        <v>590</v>
      </c>
    </row>
    <row r="25" spans="5:11" ht="11.45" customHeight="1">
      <c r="E25" s="2" t="s">
        <v>591</v>
      </c>
      <c r="H25" s="3">
        <v>10.5</v>
      </c>
      <c r="I25" s="3">
        <v>13</v>
      </c>
      <c r="J25" s="3">
        <v>18</v>
      </c>
      <c r="K25" s="2" t="s">
        <v>52</v>
      </c>
    </row>
    <row r="26" spans="5:11" ht="11.45" customHeight="1">
      <c r="E26" s="2" t="s">
        <v>592</v>
      </c>
      <c r="H26" s="3">
        <v>13</v>
      </c>
      <c r="I26" s="3">
        <v>18</v>
      </c>
      <c r="J26" s="3">
        <v>18</v>
      </c>
      <c r="K26" s="2" t="s">
        <v>52</v>
      </c>
    </row>
    <row r="27" spans="5:11" ht="11.45" customHeight="1">
      <c r="E27" s="2" t="s">
        <v>593</v>
      </c>
      <c r="H27" s="3">
        <v>24</v>
      </c>
      <c r="I27" s="3">
        <v>7</v>
      </c>
      <c r="J27" s="3">
        <v>4</v>
      </c>
      <c r="K27" s="2" t="s">
        <v>52</v>
      </c>
    </row>
    <row r="29" spans="5:11" ht="11.45" customHeight="1">
      <c r="E29" s="2" t="s">
        <v>594</v>
      </c>
      <c r="I29" s="2" t="s">
        <v>540</v>
      </c>
      <c r="J29" s="49">
        <v>6.84</v>
      </c>
      <c r="K29" s="2" t="s">
        <v>52</v>
      </c>
    </row>
    <row r="30" spans="5:11" ht="11.45" customHeight="1">
      <c r="J30" s="87"/>
    </row>
    <row r="31" spans="5:11" ht="11.45" customHeight="1">
      <c r="J31" s="87"/>
    </row>
    <row r="34" spans="1:23" ht="11.45" customHeight="1">
      <c r="A34" s="1" t="s">
        <v>595</v>
      </c>
    </row>
    <row r="35" spans="1:23" ht="11.45" customHeight="1">
      <c r="A35" s="170" t="s">
        <v>670</v>
      </c>
      <c r="B35" s="171"/>
      <c r="C35" s="171"/>
      <c r="D35" s="171"/>
      <c r="E35" s="171"/>
      <c r="F35" s="171"/>
      <c r="G35" s="171"/>
      <c r="H35" s="171"/>
      <c r="I35" s="171"/>
      <c r="J35" s="171"/>
      <c r="K35" s="171"/>
      <c r="W35" s="5"/>
    </row>
    <row r="36" spans="1:23" ht="11.45" customHeight="1">
      <c r="A36" s="171"/>
      <c r="B36" s="171"/>
      <c r="C36" s="171"/>
      <c r="D36" s="171"/>
      <c r="E36" s="171"/>
      <c r="F36" s="171"/>
      <c r="G36" s="171"/>
      <c r="H36" s="171"/>
      <c r="I36" s="171"/>
      <c r="J36" s="171"/>
      <c r="K36" s="171"/>
    </row>
    <row r="38" spans="1:23" ht="11.45" customHeight="1">
      <c r="A38" s="2" t="s">
        <v>596</v>
      </c>
      <c r="E38" s="65">
        <v>4</v>
      </c>
      <c r="F38" s="66">
        <v>8</v>
      </c>
      <c r="H38" s="2" t="s">
        <v>108</v>
      </c>
      <c r="J38" s="29">
        <f>LOOKUP(E38,$M$3:$M$14,$O$3:$O$14)</f>
        <v>0.5</v>
      </c>
      <c r="K38" s="2" t="s">
        <v>52</v>
      </c>
    </row>
    <row r="39" spans="1:23" ht="11.45" customHeight="1">
      <c r="H39" s="2" t="s">
        <v>110</v>
      </c>
      <c r="J39" s="29">
        <f>LOOKUP(E38,$M$3:$M$14,$N$3:$N$14)</f>
        <v>0.2</v>
      </c>
      <c r="K39" s="2" t="s">
        <v>410</v>
      </c>
      <c r="M39" s="2" t="s">
        <v>111</v>
      </c>
      <c r="O39" s="2">
        <v>0</v>
      </c>
      <c r="P39" s="2" t="s">
        <v>28</v>
      </c>
    </row>
    <row r="41" spans="1:23" ht="23.1" customHeight="1">
      <c r="C41" s="69" t="s">
        <v>645</v>
      </c>
      <c r="D41" s="70" t="s">
        <v>646</v>
      </c>
      <c r="E41" s="69" t="s">
        <v>647</v>
      </c>
      <c r="F41" s="69" t="s">
        <v>648</v>
      </c>
      <c r="G41" s="70" t="s">
        <v>671</v>
      </c>
      <c r="H41" s="70" t="s">
        <v>649</v>
      </c>
      <c r="I41" s="70" t="s">
        <v>650</v>
      </c>
      <c r="J41" s="70" t="s">
        <v>651</v>
      </c>
    </row>
    <row r="42" spans="1:23" ht="11.45" customHeight="1">
      <c r="A42" s="81" t="s">
        <v>597</v>
      </c>
      <c r="B42" s="82"/>
      <c r="C42" s="71">
        <f>12*($J$39/$F$38)</f>
        <v>0.30000000000000004</v>
      </c>
      <c r="D42" s="73">
        <f>AVERAGE($H$25:$H$26)</f>
        <v>11.75</v>
      </c>
      <c r="E42" s="73">
        <f>D42-$E$12-$J$38/2-$O$39</f>
        <v>9.5</v>
      </c>
      <c r="F42" s="73">
        <v>12</v>
      </c>
      <c r="G42" s="73">
        <f>0.85*$E$10*F42</f>
        <v>45.9</v>
      </c>
      <c r="H42" s="73">
        <f>C42*$E$11/G42</f>
        <v>0.39215686274509814</v>
      </c>
      <c r="I42" s="73">
        <f>$E$13*C42*$E$11*(E42-0.5*H42)/12</f>
        <v>13.955882352941181</v>
      </c>
      <c r="J42" s="74">
        <f>I42*$H$27/$E$9</f>
        <v>9.5697478991596672</v>
      </c>
    </row>
    <row r="43" spans="1:23" ht="11.45" customHeight="1">
      <c r="A43" s="83" t="s">
        <v>598</v>
      </c>
      <c r="B43" s="84"/>
      <c r="C43" s="75">
        <f>12*($J$39/$F$38)</f>
        <v>0.30000000000000004</v>
      </c>
      <c r="D43" s="29">
        <f>AVERAGE($I$25:$I$26)</f>
        <v>15.5</v>
      </c>
      <c r="E43" s="9">
        <f>D43-$E$12-$J$38/2-$O$39</f>
        <v>13.25</v>
      </c>
      <c r="F43" s="29">
        <v>12</v>
      </c>
      <c r="G43" s="29">
        <f>0.85*$E$10*F43</f>
        <v>45.9</v>
      </c>
      <c r="H43" s="29">
        <f>C43*$E$11/G43</f>
        <v>0.39215686274509814</v>
      </c>
      <c r="I43" s="29">
        <f>$E$13*C43*$E$11*(E43-0.5*H43)/12</f>
        <v>19.580882352941181</v>
      </c>
      <c r="J43" s="76">
        <f>I43*$I$27/$E$9</f>
        <v>3.916176470588236</v>
      </c>
    </row>
    <row r="44" spans="1:23" ht="11.45" customHeight="1">
      <c r="A44" s="85" t="s">
        <v>599</v>
      </c>
      <c r="B44" s="86"/>
      <c r="C44" s="77">
        <f>12*($J$39/$F$38)</f>
        <v>0.30000000000000004</v>
      </c>
      <c r="D44" s="78">
        <f>AVERAGE($J$25:$J$26)</f>
        <v>18</v>
      </c>
      <c r="E44" s="79">
        <f>D44-$E$12-$J$38/2-$O$39</f>
        <v>15.75</v>
      </c>
      <c r="F44" s="78">
        <v>12</v>
      </c>
      <c r="G44" s="78">
        <f>0.85*$E$10*F44</f>
        <v>45.9</v>
      </c>
      <c r="H44" s="78">
        <f>C44*$E$11/G44</f>
        <v>0.39215686274509814</v>
      </c>
      <c r="I44" s="78">
        <f>$E$13*C44*$E$11*(E44-0.5*H44)/12</f>
        <v>23.330882352941185</v>
      </c>
      <c r="J44" s="80">
        <f>I44*$J$27/$E$9</f>
        <v>2.6663865546218495</v>
      </c>
    </row>
    <row r="45" spans="1:23" ht="11.45" customHeight="1">
      <c r="I45" s="4" t="s">
        <v>652</v>
      </c>
      <c r="J45" s="62">
        <f>SUM(J42:J44)</f>
        <v>16.15231092436975</v>
      </c>
      <c r="K45" s="2" t="s">
        <v>119</v>
      </c>
    </row>
    <row r="46" spans="1:23" ht="11.45" customHeight="1">
      <c r="A46" s="63" t="s">
        <v>653</v>
      </c>
      <c r="B46" s="5" t="s">
        <v>600</v>
      </c>
    </row>
    <row r="47" spans="1:23" ht="11.45" customHeight="1">
      <c r="A47" s="63" t="s">
        <v>654</v>
      </c>
      <c r="B47" s="5" t="s">
        <v>601</v>
      </c>
    </row>
    <row r="48" spans="1:23" ht="11.45" customHeight="1">
      <c r="A48" s="63" t="s">
        <v>655</v>
      </c>
      <c r="B48" s="5" t="s">
        <v>602</v>
      </c>
    </row>
    <row r="49" spans="1:23" ht="11.45" customHeight="1">
      <c r="A49" s="63" t="s">
        <v>603</v>
      </c>
      <c r="B49" s="5" t="s">
        <v>604</v>
      </c>
    </row>
    <row r="50" spans="1:23" ht="11.45" customHeight="1">
      <c r="A50" s="9" t="s">
        <v>605</v>
      </c>
      <c r="B50" s="5" t="s">
        <v>606</v>
      </c>
    </row>
    <row r="56" spans="1:23" ht="11.45" customHeight="1">
      <c r="W56" s="5"/>
    </row>
    <row r="57" spans="1:23" ht="11.45" customHeight="1">
      <c r="A57" s="50" t="s">
        <v>672</v>
      </c>
    </row>
    <row r="58" spans="1:23" ht="11.45" customHeight="1">
      <c r="A58" s="50"/>
    </row>
    <row r="59" spans="1:23" ht="11.45" customHeight="1">
      <c r="A59" s="2" t="s">
        <v>607</v>
      </c>
      <c r="F59" s="88">
        <v>4</v>
      </c>
      <c r="H59" s="2" t="s">
        <v>108</v>
      </c>
      <c r="J59" s="29">
        <f>LOOKUP(F59,$M$3:$M$14,$O$3:$O$14)</f>
        <v>0.5</v>
      </c>
      <c r="K59" s="2" t="s">
        <v>52</v>
      </c>
      <c r="W59" s="5"/>
    </row>
    <row r="60" spans="1:23" ht="11.45" customHeight="1">
      <c r="H60" s="2" t="s">
        <v>110</v>
      </c>
      <c r="J60" s="29">
        <f>LOOKUP(F59,$M$3:$M$14,$N$3:$N$14)</f>
        <v>0.2</v>
      </c>
      <c r="K60" s="2" t="s">
        <v>436</v>
      </c>
    </row>
    <row r="61" spans="1:23" ht="11.45" customHeight="1">
      <c r="H61" s="2" t="s">
        <v>111</v>
      </c>
      <c r="J61" s="3">
        <f>J38</f>
        <v>0.5</v>
      </c>
      <c r="K61" s="2" t="s">
        <v>52</v>
      </c>
    </row>
    <row r="63" spans="1:23" ht="23.1" customHeight="1">
      <c r="C63" s="68" t="s">
        <v>608</v>
      </c>
      <c r="D63" s="67" t="s">
        <v>645</v>
      </c>
      <c r="E63" s="68" t="s">
        <v>646</v>
      </c>
      <c r="F63" s="67" t="s">
        <v>647</v>
      </c>
      <c r="G63" s="67" t="s">
        <v>648</v>
      </c>
      <c r="H63" s="68" t="s">
        <v>671</v>
      </c>
      <c r="I63" s="68" t="s">
        <v>649</v>
      </c>
      <c r="J63" s="68" t="s">
        <v>656</v>
      </c>
    </row>
    <row r="64" spans="1:23" ht="11.45" customHeight="1">
      <c r="A64" s="81" t="s">
        <v>597</v>
      </c>
      <c r="B64" s="82"/>
      <c r="C64" s="89">
        <v>3</v>
      </c>
      <c r="D64" s="73">
        <f>$J$60*C64</f>
        <v>0.60000000000000009</v>
      </c>
      <c r="E64" s="72">
        <f>AVERAGE($H$25:$H$26)</f>
        <v>11.75</v>
      </c>
      <c r="F64" s="73">
        <f>E64-$E$12-$J$59/2-$J$61</f>
        <v>9</v>
      </c>
      <c r="G64" s="73">
        <f>H27</f>
        <v>24</v>
      </c>
      <c r="H64" s="73">
        <f>0.85*$E$10*G64</f>
        <v>91.8</v>
      </c>
      <c r="I64" s="73">
        <f>D64*$E$11/H64</f>
        <v>0.39215686274509814</v>
      </c>
      <c r="J64" s="74">
        <f>$E$13*D64*$E$11*(F64-0.5*I64)/12</f>
        <v>26.411764705882362</v>
      </c>
    </row>
    <row r="65" spans="1:11" ht="11.45" customHeight="1">
      <c r="A65" s="83" t="s">
        <v>598</v>
      </c>
      <c r="B65" s="84"/>
      <c r="C65" s="90">
        <v>1</v>
      </c>
      <c r="D65" s="29">
        <f>$J$60*C65</f>
        <v>0.2</v>
      </c>
      <c r="E65" s="29">
        <f>AVERAGE($I$25:$I$26)</f>
        <v>15.5</v>
      </c>
      <c r="F65" s="9">
        <f>E65-$E$12-$J$59/2-$J$61</f>
        <v>12.75</v>
      </c>
      <c r="G65" s="29">
        <f>I27</f>
        <v>7</v>
      </c>
      <c r="H65" s="29">
        <f>0.85*$E$10*G65</f>
        <v>26.774999999999999</v>
      </c>
      <c r="I65" s="29">
        <f>D65*$E$11/H65</f>
        <v>0.44817927170868349</v>
      </c>
      <c r="J65" s="76">
        <f>$E$13*D65*$E$11*(F65-0.5*I65)/12</f>
        <v>12.525910364145659</v>
      </c>
    </row>
    <row r="66" spans="1:11" ht="11.45" customHeight="1">
      <c r="A66" s="85" t="s">
        <v>599</v>
      </c>
      <c r="B66" s="86"/>
      <c r="C66" s="91">
        <v>1</v>
      </c>
      <c r="D66" s="78">
        <f>$J$60*C66</f>
        <v>0.2</v>
      </c>
      <c r="E66" s="78">
        <f>AVERAGE($J$25:$J$26)</f>
        <v>18</v>
      </c>
      <c r="F66" s="79">
        <f>E66-$E$12-$J$59/2-$J$61</f>
        <v>15.25</v>
      </c>
      <c r="G66" s="78">
        <f>J27</f>
        <v>4</v>
      </c>
      <c r="H66" s="78">
        <f>0.85*$E$10*G66</f>
        <v>15.299999999999999</v>
      </c>
      <c r="I66" s="78">
        <f>D66*$E$11/H66</f>
        <v>0.78431372549019618</v>
      </c>
      <c r="J66" s="80">
        <f>$E$13*D66*$E$11*(F66-0.5*I66)/12</f>
        <v>14.857843137254902</v>
      </c>
    </row>
    <row r="67" spans="1:11" ht="11.45" customHeight="1">
      <c r="I67" s="4" t="s">
        <v>657</v>
      </c>
      <c r="J67" s="62">
        <f>SUM(J64:J66)</f>
        <v>53.795518207282925</v>
      </c>
      <c r="K67" s="2" t="s">
        <v>117</v>
      </c>
    </row>
    <row r="69" spans="1:11" ht="11.45" customHeight="1">
      <c r="A69" s="50" t="s">
        <v>609</v>
      </c>
    </row>
    <row r="71" spans="1:11" ht="11.45" customHeight="1">
      <c r="K71" s="4" t="s">
        <v>123</v>
      </c>
    </row>
    <row r="72" spans="1:11" ht="11.45" customHeight="1">
      <c r="K72" s="4"/>
    </row>
    <row r="73" spans="1:11" ht="11.45" customHeight="1">
      <c r="K73" s="4"/>
    </row>
    <row r="74" spans="1:11" ht="11.45" customHeight="1">
      <c r="K74" s="4" t="s">
        <v>610</v>
      </c>
    </row>
    <row r="77" spans="1:11" ht="11.45" customHeight="1">
      <c r="A77" s="2" t="s">
        <v>611</v>
      </c>
      <c r="F77" s="4" t="s">
        <v>658</v>
      </c>
      <c r="G77" s="29">
        <v>0</v>
      </c>
      <c r="H77" s="2" t="s">
        <v>117</v>
      </c>
    </row>
    <row r="78" spans="1:11" ht="11.45" customHeight="1">
      <c r="A78" s="2" t="s">
        <v>255</v>
      </c>
      <c r="F78" s="4" t="s">
        <v>542</v>
      </c>
      <c r="G78" s="29">
        <f>$E$16/2+SQRT(($E$16/2)^2+8*($E$9/12)*($G$77+$J$67)/$J$45)</f>
        <v>10.73746477083187</v>
      </c>
      <c r="H78" s="2" t="s">
        <v>66</v>
      </c>
    </row>
    <row r="79" spans="1:11" ht="11.45" customHeight="1">
      <c r="A79" s="2" t="s">
        <v>612</v>
      </c>
      <c r="F79" s="4" t="s">
        <v>659</v>
      </c>
      <c r="G79" s="29">
        <f>(2/(2*G78-$E$16))*(8*0+8*$J$67+$J$45*G78^2/($E$9/12))</f>
        <v>118.92676766944662</v>
      </c>
      <c r="H79" s="2" t="s">
        <v>64</v>
      </c>
    </row>
    <row r="81" spans="1:12" ht="11.45" customHeight="1">
      <c r="A81" s="51" t="s">
        <v>613</v>
      </c>
      <c r="E81" s="4" t="s">
        <v>660</v>
      </c>
      <c r="F81" s="29">
        <f>G79</f>
        <v>118.92676766944662</v>
      </c>
      <c r="G81" s="9" t="str">
        <f>IF(F81&gt;H81,"&gt;","&lt;")</f>
        <v>&gt;</v>
      </c>
      <c r="H81" s="29">
        <f>$E$15</f>
        <v>54</v>
      </c>
      <c r="J81" s="2" t="str">
        <f>IF(F81&gt;H81,"OK","FAILS")</f>
        <v>OK</v>
      </c>
    </row>
    <row r="83" spans="1:12" ht="11.45" customHeight="1">
      <c r="A83" s="1" t="s">
        <v>614</v>
      </c>
      <c r="K83" s="4" t="s">
        <v>615</v>
      </c>
    </row>
    <row r="84" spans="1:12" ht="11.45" customHeight="1">
      <c r="A84" s="156" t="s">
        <v>661</v>
      </c>
      <c r="B84" s="157"/>
      <c r="C84" s="157"/>
      <c r="D84" s="157"/>
      <c r="E84" s="157"/>
      <c r="F84" s="157"/>
      <c r="G84" s="157"/>
      <c r="H84" s="157"/>
      <c r="I84" s="157"/>
      <c r="J84" s="157"/>
      <c r="K84" s="157"/>
    </row>
    <row r="85" spans="1:12" ht="11.45" customHeight="1">
      <c r="A85" s="157"/>
      <c r="B85" s="157"/>
      <c r="C85" s="157"/>
      <c r="D85" s="157"/>
      <c r="E85" s="157"/>
      <c r="F85" s="157"/>
      <c r="G85" s="157"/>
      <c r="H85" s="157"/>
      <c r="I85" s="157"/>
      <c r="J85" s="157"/>
      <c r="K85" s="157"/>
    </row>
    <row r="87" spans="1:12" ht="11.45" customHeight="1">
      <c r="A87" s="2" t="s">
        <v>616</v>
      </c>
      <c r="I87" s="9" t="s">
        <v>662</v>
      </c>
      <c r="J87" s="3">
        <v>18</v>
      </c>
      <c r="K87" s="2" t="s">
        <v>52</v>
      </c>
    </row>
    <row r="88" spans="1:12" ht="11.45" customHeight="1">
      <c r="A88" s="2" t="s">
        <v>617</v>
      </c>
      <c r="I88" s="9" t="s">
        <v>551</v>
      </c>
      <c r="J88" s="3">
        <v>12</v>
      </c>
      <c r="K88" s="2" t="s">
        <v>52</v>
      </c>
    </row>
    <row r="89" spans="1:12" ht="11.45" customHeight="1">
      <c r="I89" s="9"/>
      <c r="J89" s="32"/>
    </row>
    <row r="90" spans="1:12" ht="12.95" customHeight="1">
      <c r="A90" s="2" t="s">
        <v>618</v>
      </c>
      <c r="I90" s="4" t="s">
        <v>663</v>
      </c>
      <c r="J90" s="29">
        <f>J87*J88</f>
        <v>216</v>
      </c>
      <c r="K90" s="92" t="s">
        <v>673</v>
      </c>
    </row>
    <row r="92" spans="1:12" ht="12.95" customHeight="1">
      <c r="A92" s="2" t="s">
        <v>619</v>
      </c>
      <c r="E92" s="65">
        <v>4</v>
      </c>
      <c r="F92" s="93">
        <v>8</v>
      </c>
      <c r="I92" s="2" t="s">
        <v>110</v>
      </c>
      <c r="J92" s="9">
        <f>LOOKUP(E92,$M$3:$M$14,$N$3:$N$14)</f>
        <v>0.2</v>
      </c>
      <c r="K92" s="92" t="s">
        <v>673</v>
      </c>
    </row>
    <row r="93" spans="1:12" ht="12.95" customHeight="1">
      <c r="E93" s="41"/>
      <c r="F93" s="100"/>
      <c r="J93" s="9"/>
      <c r="K93" s="92"/>
    </row>
    <row r="94" spans="1:12" ht="12.95" customHeight="1">
      <c r="A94" s="2" t="s">
        <v>620</v>
      </c>
      <c r="E94" s="2" t="s">
        <v>664</v>
      </c>
      <c r="F94" s="2" t="str">
        <f>"12.0 in. * "&amp;TEXT(J92,"0.00")&amp;" in. / "&amp;TEXT(F92,"0.00")&amp;" in. ="</f>
        <v>12.0 in. * 0.20 in. / 8.00 in. =</v>
      </c>
      <c r="I94" s="2">
        <f>J92*12/F92</f>
        <v>0.30000000000000004</v>
      </c>
      <c r="J94" s="94" t="s">
        <v>674</v>
      </c>
    </row>
    <row r="95" spans="1:12" ht="34.5" customHeight="1">
      <c r="G95" s="95">
        <f>0.05*J90/E11</f>
        <v>0.18000000000000002</v>
      </c>
      <c r="H95" s="95" t="str">
        <f>IF(I94&gt;G95,"OK","FAILS")</f>
        <v>OK</v>
      </c>
      <c r="I95" s="11"/>
      <c r="J95" s="11"/>
      <c r="K95" s="25" t="s">
        <v>621</v>
      </c>
      <c r="L95" s="11"/>
    </row>
    <row r="96" spans="1:12" ht="11.45" customHeight="1">
      <c r="A96" s="2" t="s">
        <v>622</v>
      </c>
      <c r="I96" s="2" t="s">
        <v>623</v>
      </c>
      <c r="J96" s="3">
        <v>0</v>
      </c>
      <c r="K96" s="2" t="s">
        <v>122</v>
      </c>
    </row>
    <row r="98" spans="1:11" ht="11.45" customHeight="1">
      <c r="A98" s="2" t="s">
        <v>624</v>
      </c>
    </row>
    <row r="100" spans="1:11" ht="11.45" customHeight="1">
      <c r="A100" s="2" t="s">
        <v>625</v>
      </c>
      <c r="D100" s="4" t="s">
        <v>54</v>
      </c>
      <c r="E100" s="49">
        <v>7.4999999999999997E-2</v>
      </c>
      <c r="F100" s="2" t="s">
        <v>32</v>
      </c>
      <c r="K100" s="4" t="s">
        <v>626</v>
      </c>
    </row>
    <row r="101" spans="1:11" ht="11.45" customHeight="1">
      <c r="A101" s="2" t="s">
        <v>627</v>
      </c>
      <c r="D101" s="4" t="s">
        <v>641</v>
      </c>
      <c r="E101" s="49">
        <v>0.6</v>
      </c>
      <c r="K101" s="4"/>
    </row>
    <row r="102" spans="1:11" ht="11.45" customHeight="1">
      <c r="A102" s="2" t="s">
        <v>628</v>
      </c>
      <c r="D102" s="4" t="s">
        <v>665</v>
      </c>
      <c r="E102" s="49">
        <v>0.2</v>
      </c>
      <c r="F102" s="2" t="s">
        <v>629</v>
      </c>
      <c r="K102" s="4"/>
    </row>
    <row r="103" spans="1:11" ht="11.45" customHeight="1">
      <c r="A103" s="2" t="s">
        <v>630</v>
      </c>
      <c r="D103" s="4" t="s">
        <v>666</v>
      </c>
      <c r="E103" s="49">
        <v>0.8</v>
      </c>
      <c r="F103" s="2" t="s">
        <v>631</v>
      </c>
      <c r="K103" s="4"/>
    </row>
    <row r="104" spans="1:11" ht="11.45" customHeight="1">
      <c r="K104" s="4"/>
    </row>
    <row r="105" spans="1:11" ht="11.45" customHeight="1">
      <c r="D105" s="179" t="str">
        <f>TEXT(E102,"0.00")&amp;" * "&amp;TEXT(E10,"0.00")&amp;" ksi * "&amp;TEXT(J90,"0.0")&amp;" in. ="</f>
        <v>0.20 * 4.50 ksi * 216.0 in. =</v>
      </c>
      <c r="E105" s="179"/>
      <c r="F105" s="179"/>
      <c r="G105" s="2">
        <f>E102*$E$10*J90</f>
        <v>194.4</v>
      </c>
      <c r="H105" s="2" t="s">
        <v>632</v>
      </c>
      <c r="I105" s="2" t="str">
        <f>IF(G105=MIN(G105,G106,J107),"←controls","")</f>
        <v/>
      </c>
      <c r="K105" s="4" t="s">
        <v>633</v>
      </c>
    </row>
    <row r="106" spans="1:11" ht="11.45" customHeight="1">
      <c r="A106" s="2" t="s">
        <v>667</v>
      </c>
      <c r="D106" s="179" t="str">
        <f>TEXT(E103,"0.00")&amp;" * "&amp;TEXT(J90,"0.0")&amp;" in. ="</f>
        <v>0.80 * 216.0 in. =</v>
      </c>
      <c r="E106" s="179"/>
      <c r="F106" s="179"/>
      <c r="G106" s="2">
        <f>E103*J90</f>
        <v>172.8</v>
      </c>
      <c r="H106" s="2" t="s">
        <v>632</v>
      </c>
      <c r="I106" s="2" t="str">
        <f>IF(G106=MIN(G105,G106,J107),"←controls","")</f>
        <v/>
      </c>
    </row>
    <row r="107" spans="1:11" ht="11.45" customHeight="1">
      <c r="E107" s="179" t="str">
        <f>TEXT(E100,"0.000")&amp;" ksi*"&amp;TEXT(J90,"0")&amp;"in.+"&amp;TEXT(E101,"0.00")&amp;"("&amp;TEXT(I94,"0.00")&amp;" in.* "&amp;TEXT(E11,"0")&amp;" ksi+"&amp;TEXT(J96,"0")&amp;"kip) ="</f>
        <v>0.075 ksi*216in.+0.60(0.30 in.* 60 ksi+0kip) =</v>
      </c>
      <c r="F107" s="179"/>
      <c r="G107" s="179"/>
      <c r="H107" s="179"/>
      <c r="I107" s="179"/>
      <c r="J107" s="8">
        <f>E100*J90+E101*(I94*E11+J96)</f>
        <v>27</v>
      </c>
      <c r="K107" s="2" t="s">
        <v>632</v>
      </c>
    </row>
    <row r="110" spans="1:11" ht="11.45" customHeight="1">
      <c r="A110" s="2" t="s">
        <v>585</v>
      </c>
      <c r="D110" s="4" t="s">
        <v>642</v>
      </c>
      <c r="E110" s="29">
        <f>E13</f>
        <v>1</v>
      </c>
      <c r="F110" s="2" t="s">
        <v>55</v>
      </c>
      <c r="K110" s="4" t="s">
        <v>56</v>
      </c>
    </row>
    <row r="111" spans="1:11" ht="11.45" customHeight="1">
      <c r="A111" s="2" t="s">
        <v>634</v>
      </c>
      <c r="D111" s="4" t="s">
        <v>643</v>
      </c>
      <c r="E111" s="29">
        <f>MIN(G105:G106,J107)*E110</f>
        <v>27</v>
      </c>
      <c r="F111" s="2" t="s">
        <v>122</v>
      </c>
    </row>
    <row r="112" spans="1:11" ht="11.45" customHeight="1">
      <c r="A112" s="2" t="s">
        <v>635</v>
      </c>
      <c r="I112" s="8">
        <f>G79/G78</f>
        <v>11.07587034813926</v>
      </c>
      <c r="J112" s="2" t="s">
        <v>125</v>
      </c>
    </row>
    <row r="114" spans="1:11" ht="11.45" customHeight="1">
      <c r="H114" s="8"/>
    </row>
    <row r="115" spans="1:11" ht="11.45" customHeight="1">
      <c r="A115" s="2" t="s">
        <v>613</v>
      </c>
      <c r="E115" s="4" t="s">
        <v>668</v>
      </c>
      <c r="F115" s="29">
        <f>E111</f>
        <v>27</v>
      </c>
      <c r="G115" s="9" t="str">
        <f>IF(F115&gt;H115,"&gt;",IF(F115&lt;H115,"&lt;","="))</f>
        <v>&gt;</v>
      </c>
      <c r="H115" s="29">
        <f>I112</f>
        <v>11.07587034813926</v>
      </c>
      <c r="J115" s="9" t="str">
        <f>IF(F115&gt;H115,"OK","FAILS")</f>
        <v>OK</v>
      </c>
    </row>
    <row r="117" spans="1:11" ht="11.45" customHeight="1">
      <c r="A117" s="1" t="s">
        <v>636</v>
      </c>
    </row>
    <row r="118" spans="1:11" ht="11.45" customHeight="1">
      <c r="A118" s="156" t="s">
        <v>637</v>
      </c>
      <c r="B118" s="157"/>
      <c r="C118" s="157"/>
      <c r="D118" s="157"/>
      <c r="E118" s="157"/>
      <c r="F118" s="157"/>
      <c r="G118" s="157"/>
      <c r="H118" s="157"/>
      <c r="I118" s="157"/>
      <c r="J118" s="157"/>
      <c r="K118" s="157"/>
    </row>
    <row r="119" spans="1:11" ht="11.45" customHeight="1">
      <c r="A119" s="157"/>
      <c r="B119" s="157"/>
      <c r="C119" s="157"/>
      <c r="D119" s="157"/>
      <c r="E119" s="157"/>
      <c r="F119" s="157"/>
      <c r="G119" s="157"/>
      <c r="H119" s="157"/>
      <c r="I119" s="157"/>
      <c r="J119" s="157"/>
      <c r="K119" s="157"/>
    </row>
    <row r="121" spans="1:11" ht="11.45" customHeight="1">
      <c r="A121" s="2" t="s">
        <v>669</v>
      </c>
      <c r="K121" s="4" t="s">
        <v>638</v>
      </c>
    </row>
    <row r="122" spans="1:11" ht="11.45" customHeight="1" thickBot="1"/>
    <row r="123" spans="1:11" ht="12.95" customHeight="1">
      <c r="A123" s="56" t="s">
        <v>639</v>
      </c>
      <c r="B123" s="37"/>
      <c r="C123" s="37"/>
      <c r="D123" s="37"/>
      <c r="E123" s="37"/>
      <c r="F123" s="96" t="s">
        <v>507</v>
      </c>
      <c r="G123" s="97">
        <f>G79/(G78+2*$E$9/12)</f>
        <v>7.1768883382601487</v>
      </c>
      <c r="H123" s="38" t="s">
        <v>125</v>
      </c>
    </row>
    <row r="124" spans="1:11" ht="12.95" customHeight="1" thickBot="1">
      <c r="A124" s="42" t="s">
        <v>640</v>
      </c>
      <c r="B124" s="43"/>
      <c r="C124" s="43"/>
      <c r="D124" s="43"/>
      <c r="E124" s="43"/>
      <c r="F124" s="98" t="s">
        <v>675</v>
      </c>
      <c r="G124" s="99">
        <f>J45</f>
        <v>16.15231092436975</v>
      </c>
      <c r="H124" s="61" t="s">
        <v>119</v>
      </c>
    </row>
    <row r="127" spans="1:11" ht="11.45" customHeight="1">
      <c r="A127" s="87" t="s">
        <v>703</v>
      </c>
      <c r="B127" s="2" t="s">
        <v>704</v>
      </c>
    </row>
  </sheetData>
  <mergeCells count="7">
    <mergeCell ref="A3:K8"/>
    <mergeCell ref="D106:F106"/>
    <mergeCell ref="E107:I107"/>
    <mergeCell ref="A118:K119"/>
    <mergeCell ref="A35:K36"/>
    <mergeCell ref="A84:K85"/>
    <mergeCell ref="D105:F105"/>
  </mergeCells>
  <conditionalFormatting sqref="A87:A89 I87:K90 A90:C90 A92:A95 I94:J94 E94:E95 K95 C96 F96:G96 D98:D99 D100:F103 A100:B104 K103 G104:I106 A105:C107 J107:K107 A108:J109 H110:J110 A110:F111 O112:O116">
    <cfRule type="cellIs" dxfId="65" priority="74" operator="equal">
      <formula>"OK"</formula>
    </cfRule>
  </conditionalFormatting>
  <conditionalFormatting sqref="A87:A90 I87:K90 B90:C90 A92:A95 I94:J94 E94:E95 K95 C96 F96:G96 D98:D99 D100:F103 B100:B104 A100:A105 K103 G105:H106 A106:C107 J107:K107 B108:G109 A108:A111 B110:F111">
    <cfRule type="cellIs" dxfId="64" priority="75" operator="equal">
      <formula>"no good"</formula>
    </cfRule>
    <cfRule type="cellIs" dxfId="63" priority="76" operator="equal">
      <formula>"ok"</formula>
    </cfRule>
  </conditionalFormatting>
  <conditionalFormatting sqref="A126:E126">
    <cfRule type="containsText" dxfId="62" priority="67" operator="containsText" text="figure">
      <formula>NOT(ISERROR(SEARCH("figure",A126)))</formula>
    </cfRule>
    <cfRule type="cellIs" dxfId="61" priority="68" operator="equal">
      <formula>"fails"</formula>
    </cfRule>
    <cfRule type="cellIs" dxfId="60" priority="69" operator="equal">
      <formula>"ok"</formula>
    </cfRule>
  </conditionalFormatting>
  <conditionalFormatting sqref="A1:I1 K1 Q1:XFD33 A2:L2 M2:O14 A3 L3:L12 A9:F11 I12:K12 A12:A16 D12:F16 K13:K14 J15:K16 M15:M17 L18:M18 J19:M23 I24:J24 L24:M24 E24:E27 K25:K27 M25:M28 H26:J27 L29:M31 J32:M32 A33:E33 G33:M33 A35 N35:Y37 L35:M38 Z35:XFD39 A38 E38:F38 O38:V38 X38:Y38 H38:K39 E39 M39:Y39 A40:M40 Q40:XFD40 B41 G41:J41 C41:F44 M41:M50 A46:B49 Q46:XFD50 M51:XFD54 A55:XFD55 L56:L58 A57:A59 E59:L59 I59:J60 D60 A61:K61 A62:XFD62 M64:XFD67 A68:XFD68 A69 L69:XFD69 A70:K76 M70:XFD76 W77:XFD79 M78:P79 R78:T79 V78:V79 A78:D80 J78:K80 F78:H81 A81:B81 E81 J81 T81:XFD81 A82:C82 E82:G82 J82:XFD82 A84 M84:XFD85 L86:L89 U86:XFD89 L90:XFD90 Z91:XFD95 M91:W99 E92:F93 I92:J93 A96:B96 X96:XFD99 K100 M100:XFD100 K101:XFD101 L102:XFD103 K104:XFD104 J105:K106 M105:XFD107 K108:XFD111 A112:M112 P112:XFD116 B113:G113 J113:M113 A114:M114 J115 A115:C116 M115:M116 I116 A118 M118:XFD121 A122:XFD122 M123:XFD126 A124 F124:H124 I127:XFD128 A129:XFD1048576">
    <cfRule type="cellIs" dxfId="59" priority="84" operator="equal">
      <formula>"fails"</formula>
    </cfRule>
  </conditionalFormatting>
  <conditionalFormatting sqref="A1:I1 Q1:XFD33 A2:L2 M2:O14 A3 L3:L12 A9:F11 I12:K12 A12:A16 D12:F16 K13:K14 J15:K16 M15:M17 L18:M18 J19:M23 I24:J24 L24:M24 E24:E27 K25:K27 M25:M28 H26:J27 L29:M31 J32:M32 A33:E33 G33:M33 A35 N35:Y37 L35:M38 Z35:XFD39 A38 E38:F38 O38:V38 X38:Y38 H38:K39 E39 M39:Y39 A40:M40 Q40:XFD40 B41 G41:J41 C41:F44 M41:M50 A46:B49 Q46:XFD50 M51:XFD54 A55:XFD55 L56:L58 A57:A59 E59:L59 D60 A61:K61 A62:XFD62 M64:XFD67 A68:XFD68 A69 L69:XFD69 A70:K76 M70:XFD76 W77:XFD79 M78:P79 R78:T79 V78:V79 A78:D80 J78:K80 F78:H81 A81:B81 E81 J81 T81:XFD81 A82:C82 E82:G82 J82:XFD82 A84 M84:XFD85 L86:L89 U86:XFD89 L90:XFD90 Z91:XFD95 M91:W99 E92:F93 I92:J93 A96:B96 X96:XFD99 K100 M100:XFD100 K101:XFD101 L102:XFD103 K104:XFD104 J105:K106 M105:XFD107 K108:XFD111 A112:M112 P112:XFD116 B113:G113 J113:M113 A114:M114 J115 A115:C116 M115:M116 I116 A118 M118:XFD121 A122:XFD122 M123:XFD126 A124 F124:H124 I127:XFD128 A129:XFD1048576">
    <cfRule type="cellIs" dxfId="58" priority="85" operator="equal">
      <formula>"ok"</formula>
    </cfRule>
  </conditionalFormatting>
  <conditionalFormatting sqref="A34:XFD34">
    <cfRule type="containsText" dxfId="57" priority="22" operator="containsText" text="figure">
      <formula>NOT(ISERROR(SEARCH("figure",A34)))</formula>
    </cfRule>
    <cfRule type="cellIs" dxfId="56" priority="23" operator="equal">
      <formula>"fails"</formula>
    </cfRule>
    <cfRule type="cellIs" dxfId="55" priority="24" operator="equal">
      <formula>"ok"</formula>
    </cfRule>
  </conditionalFormatting>
  <conditionalFormatting sqref="A83:XFD83">
    <cfRule type="containsText" dxfId="54" priority="19" operator="containsText" text="figure">
      <formula>NOT(ISERROR(SEARCH("figure",A83)))</formula>
    </cfRule>
    <cfRule type="cellIs" dxfId="53" priority="20" operator="equal">
      <formula>"fails"</formula>
    </cfRule>
    <cfRule type="cellIs" dxfId="52" priority="21" operator="equal">
      <formula>"ok"</formula>
    </cfRule>
  </conditionalFormatting>
  <conditionalFormatting sqref="A117:XFD117">
    <cfRule type="containsText" dxfId="51" priority="16" operator="containsText" text="figure">
      <formula>NOT(ISERROR(SEARCH("figure",A117)))</formula>
    </cfRule>
    <cfRule type="cellIs" dxfId="50" priority="17" operator="equal">
      <formula>"fails"</formula>
    </cfRule>
    <cfRule type="cellIs" dxfId="49" priority="18" operator="equal">
      <formula>"ok"</formula>
    </cfRule>
  </conditionalFormatting>
  <conditionalFormatting sqref="B63 H63:T63">
    <cfRule type="containsText" dxfId="48" priority="49" operator="containsText" text="figure">
      <formula>NOT(ISERROR(SEARCH("figure",B63)))</formula>
    </cfRule>
    <cfRule type="cellIs" dxfId="47" priority="50" operator="equal">
      <formula>"fails"</formula>
    </cfRule>
  </conditionalFormatting>
  <conditionalFormatting sqref="B63">
    <cfRule type="cellIs" dxfId="46" priority="51" operator="equal">
      <formula>"ok"</formula>
    </cfRule>
  </conditionalFormatting>
  <conditionalFormatting sqref="B98:C99">
    <cfRule type="containsText" dxfId="45" priority="70" operator="containsText" text="figure">
      <formula>NOT(ISERROR(SEARCH("figure",B98)))</formula>
    </cfRule>
    <cfRule type="cellIs" dxfId="44" priority="71" operator="equal">
      <formula>"fails"</formula>
    </cfRule>
    <cfRule type="cellIs" dxfId="43" priority="72" operator="equal">
      <formula>"ok"</formula>
    </cfRule>
  </conditionalFormatting>
  <conditionalFormatting sqref="D63:G66">
    <cfRule type="containsText" dxfId="42" priority="10" operator="containsText" text="figure">
      <formula>NOT(ISERROR(SEARCH("figure",D63)))</formula>
    </cfRule>
    <cfRule type="cellIs" dxfId="41" priority="11" operator="equal">
      <formula>"fails"</formula>
    </cfRule>
  </conditionalFormatting>
  <conditionalFormatting sqref="D64:G66">
    <cfRule type="cellIs" dxfId="40" priority="42" operator="equal">
      <formula>"ok"</formula>
    </cfRule>
  </conditionalFormatting>
  <conditionalFormatting sqref="D63:T63">
    <cfRule type="cellIs" dxfId="39" priority="12" operator="equal">
      <formula>"ok"</formula>
    </cfRule>
  </conditionalFormatting>
  <conditionalFormatting sqref="E115:H116">
    <cfRule type="containsText" dxfId="38" priority="37" operator="containsText" text="figure">
      <formula>NOT(ISERROR(SEARCH("figure",E115)))</formula>
    </cfRule>
    <cfRule type="cellIs" dxfId="37" priority="38" operator="equal">
      <formula>"fails"</formula>
    </cfRule>
    <cfRule type="cellIs" dxfId="36" priority="39" operator="equal">
      <formula>"ok"</formula>
    </cfRule>
  </conditionalFormatting>
  <conditionalFormatting sqref="E59:L59 K1 A1:I1 Q1:XFD33 A2:L2 M2:O14 A3 L3:L12 A9:F11 I12:K12 A12:A16 D12:F16 K13:K14 J15:K16 M15:M17 L18:M18 J19:M23 I24:J24 L24:M24 E24:E27 K25:K27 M25:M28 H26:J27 L29:M31 J32:M32 A33:E33 G33:M33 A35 N35:Y37 L35:M38 Z35:XFD39 A38 E38:F38 O38:V38 X38:Y38 H38:K39 E39 M39:Y39 A40:M40 Q40:XFD40 B41 G41:J41 C41:F44 M41:M50 A46:B49 Q46:XFD50 M51:XFD54 A55:XFD55 L56:L58 A57:A59 D60 A61:K61 A62:XFD62 M64:XFD67 A68:XFD68 A69 L69:XFD69 A70:K76 M70:XFD76 W77:XFD79 M78:P79 R78:T79 V78:V79 A78:D80 J78:K80 F78:H81 A81:B81 E81 J81 T81:XFD81 A82:C82 E82:G82 J82:XFD82 A84 M84:XFD85 L86:L89 U86:XFD89 L90:XFD90 Z91:XFD95 M91:W99 E92:F93 I92:J93 A96:B96 X96:XFD99 K100 M100:XFD100 K101:XFD101 L102:XFD103 K104:XFD104 J105:K106 M105:XFD107 K108:XFD111 A112:M112 P112:XFD116 B113:G113 J113:M113 A114:M114 J115 A115:C116 M115:M116 I116 A118 M118:XFD121 A122:XFD122 M123:XFD126 A124 F124:H124 I127:XFD128 A129:XFD1048576">
    <cfRule type="containsText" dxfId="35" priority="83" operator="containsText" text="figure">
      <formula>NOT(ISERROR(SEARCH("figure",A1)))</formula>
    </cfRule>
  </conditionalFormatting>
  <conditionalFormatting sqref="F77">
    <cfRule type="containsText" dxfId="34" priority="7" operator="containsText" text="figure">
      <formula>NOT(ISERROR(SEARCH("figure",F77)))</formula>
    </cfRule>
    <cfRule type="cellIs" dxfId="33" priority="8" operator="equal">
      <formula>"fails"</formula>
    </cfRule>
    <cfRule type="cellIs" dxfId="32" priority="9" operator="equal">
      <formula>"ok"</formula>
    </cfRule>
  </conditionalFormatting>
  <conditionalFormatting sqref="H59:H60">
    <cfRule type="cellIs" dxfId="31" priority="35" operator="equal">
      <formula>"fails"</formula>
    </cfRule>
  </conditionalFormatting>
  <conditionalFormatting sqref="H95">
    <cfRule type="containsText" dxfId="30" priority="4" operator="containsText" text="figure">
      <formula>NOT(ISERROR(SEARCH("figure",H95)))</formula>
    </cfRule>
    <cfRule type="cellIs" dxfId="29" priority="5" operator="equal">
      <formula>"fails"</formula>
    </cfRule>
    <cfRule type="cellIs" dxfId="28" priority="6" operator="equal">
      <formula>"ok"</formula>
    </cfRule>
  </conditionalFormatting>
  <conditionalFormatting sqref="H59:K60">
    <cfRule type="containsText" dxfId="27" priority="34" operator="containsText" text="figure">
      <formula>NOT(ISERROR(SEARCH("figure",H59)))</formula>
    </cfRule>
    <cfRule type="cellIs" dxfId="26" priority="36" operator="equal">
      <formula>"ok"</formula>
    </cfRule>
  </conditionalFormatting>
  <conditionalFormatting sqref="K1">
    <cfRule type="containsText" dxfId="25" priority="13" operator="containsText" text="figure">
      <formula>NOT(ISERROR(SEARCH("figure",K1)))</formula>
    </cfRule>
    <cfRule type="cellIs" dxfId="24" priority="14" operator="equal">
      <formula>"fails"</formula>
    </cfRule>
    <cfRule type="cellIs" dxfId="23" priority="15" operator="equal">
      <formula>"ok"</formula>
    </cfRule>
  </conditionalFormatting>
  <conditionalFormatting sqref="K59:K60">
    <cfRule type="cellIs" dxfId="22" priority="65" operator="equal">
      <formula>"fails"</formula>
    </cfRule>
  </conditionalFormatting>
  <conditionalFormatting sqref="K92:K93">
    <cfRule type="cellIs" dxfId="21" priority="1" operator="equal">
      <formula>"OK"</formula>
    </cfRule>
    <cfRule type="cellIs" dxfId="20" priority="2" operator="equal">
      <formula>"no good"</formula>
    </cfRule>
    <cfRule type="cellIs" dxfId="19" priority="3" operator="equal">
      <formula>"ok"</formula>
    </cfRule>
  </conditionalFormatting>
  <conditionalFormatting sqref="K121">
    <cfRule type="containsText" dxfId="18" priority="25" operator="containsText" text="figure">
      <formula>NOT(ISERROR(SEARCH("figure",K121)))</formula>
    </cfRule>
    <cfRule type="cellIs" dxfId="17" priority="26" operator="equal">
      <formula>"fails"</formula>
    </cfRule>
    <cfRule type="cellIs" dxfId="16" priority="27" operator="equal">
      <formula>"ok"</formula>
    </cfRule>
  </conditionalFormatting>
  <conditionalFormatting sqref="M56:XFD61">
    <cfRule type="containsText" dxfId="15" priority="77" operator="containsText" text="figure">
      <formula>NOT(ISERROR(SEARCH("figure",M56)))</formula>
    </cfRule>
    <cfRule type="cellIs" dxfId="14" priority="78" operator="equal">
      <formula>"fails"</formula>
    </cfRule>
    <cfRule type="cellIs" dxfId="13" priority="79" operator="equal">
      <formula>"ok"</formula>
    </cfRule>
  </conditionalFormatting>
  <conditionalFormatting sqref="M80:XFD80">
    <cfRule type="containsText" dxfId="12" priority="31" operator="containsText" text="figure">
      <formula>NOT(ISERROR(SEARCH("figure",M80)))</formula>
    </cfRule>
    <cfRule type="cellIs" dxfId="11" priority="32" operator="equal">
      <formula>"fails"</formula>
    </cfRule>
    <cfRule type="cellIs" dxfId="10" priority="33" operator="equal">
      <formula>"ok"</formula>
    </cfRule>
  </conditionalFormatting>
  <conditionalFormatting sqref="O112:O116">
    <cfRule type="cellIs" dxfId="9" priority="73" operator="equal">
      <formula>"FAILS"</formula>
    </cfRule>
  </conditionalFormatting>
  <conditionalFormatting sqref="O81:R81">
    <cfRule type="containsText" dxfId="8" priority="28" operator="containsText" text="figure">
      <formula>NOT(ISERROR(SEARCH("figure",O81)))</formula>
    </cfRule>
    <cfRule type="cellIs" dxfId="7" priority="29" operator="equal">
      <formula>"fails"</formula>
    </cfRule>
    <cfRule type="cellIs" dxfId="6" priority="30" operator="equal">
      <formula>"ok"</formula>
    </cfRule>
  </conditionalFormatting>
  <conditionalFormatting sqref="V63:XFD63">
    <cfRule type="containsText" dxfId="5" priority="52" operator="containsText" text="figure">
      <formula>NOT(ISERROR(SEARCH("figure",V63)))</formula>
    </cfRule>
    <cfRule type="cellIs" dxfId="4" priority="53" operator="equal">
      <formula>"fails"</formula>
    </cfRule>
    <cfRule type="cellIs" dxfId="3" priority="54" operator="equal">
      <formula>"ok"</formula>
    </cfRule>
  </conditionalFormatting>
  <conditionalFormatting sqref="Z41:XFD45">
    <cfRule type="containsText" dxfId="2" priority="55" operator="containsText" text="figure">
      <formula>NOT(ISERROR(SEARCH("figure",Z41)))</formula>
    </cfRule>
    <cfRule type="cellIs" dxfId="1" priority="56" operator="equal">
      <formula>"fails"</formula>
    </cfRule>
    <cfRule type="cellIs" dxfId="0" priority="57" operator="equal">
      <formula>"ok"</formula>
    </cfRule>
  </conditionalFormatting>
  <pageMargins left="1" right="1" top="1" bottom="1" header="0.7" footer="0.7"/>
  <pageSetup scale="90" orientation="portrait" useFirstPageNumber="1" r:id="rId1"/>
  <headerFooter>
    <oddHeader>&amp;L&amp;"Arial,Italic"&amp;9EXAMPLE 6.1 - DECK DESIGN&amp;"-,Regular"&amp;11
===============================================================================================&amp;R&amp;"Arial,Italic"&amp;9&amp;P</oddHeader>
    <oddFooter>&amp;L===============================================================================================
&amp;"Arial,Italic"&amp;9CDOT Bridge Design Manual&amp;R
&amp;"Arial,Italic"&amp;9February 2023</oddFooter>
  </headerFooter>
  <rowBreaks count="1" manualBreakCount="1">
    <brk id="1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6.1 Deck Design</vt:lpstr>
      <vt:lpstr>6.2 Type 10MASH</vt:lpstr>
      <vt:lpstr>6.3 Type 9</vt:lpstr>
      <vt:lpstr>6.4 Overhang Design</vt:lpstr>
      <vt:lpstr>Type 10MASH CG</vt:lpstr>
      <vt:lpstr>6.3 Type 7_old</vt:lpstr>
      <vt:lpstr>'6.1 Deck Design'!Print_Area</vt:lpstr>
      <vt:lpstr>'6.2 Type 10MASH'!Print_Area</vt:lpstr>
      <vt:lpstr>'6.3 Type 9'!Print_Area</vt:lpstr>
      <vt:lpstr>'6.4 Overhang Design'!Print_Area</vt:lpstr>
      <vt:lpstr>'Type 10MASH CG'!Print_Area</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Rasmussen, Stephanie</dc:creator>
  <cp:lastModifiedBy>Abraham, Sam</cp:lastModifiedBy>
  <cp:lastPrinted>2025-05-01T14:03:33Z</cp:lastPrinted>
  <dcterms:created xsi:type="dcterms:W3CDTF">2020-12-18T15:41:00Z</dcterms:created>
  <dcterms:modified xsi:type="dcterms:W3CDTF">2025-05-01T14:04:08Z</dcterms:modified>
  <dc:language>English</dc:language>
</cp:coreProperties>
</file>