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0" windowWidth="11400" windowHeight="10710" tabRatio="692" firstSheet="1" activeTab="1"/>
  </bookViews>
  <sheets>
    <sheet name="OtherLists" sheetId="1" state="hidden" r:id="rId1"/>
    <sheet name="Reinf S.S." sheetId="2" r:id="rId2"/>
    <sheet name="Reinf Abutment 1" sheetId="3" r:id="rId3"/>
    <sheet name="Reinf Pier 2" sheetId="4" r:id="rId4"/>
    <sheet name="Reinf Pier 3" sheetId="5" r:id="rId5"/>
    <sheet name="Reinf Abutment 7" sheetId="6" r:id="rId6"/>
    <sheet name="App Slabs" sheetId="7" r:id="rId7"/>
  </sheets>
  <definedNames>
    <definedName name="A" localSheetId="6">#REF!</definedName>
    <definedName name="A" localSheetId="5">#REF!</definedName>
    <definedName name="A">#REF!</definedName>
    <definedName name="Alpha">'OtherLists'!$G$3:$G$28</definedName>
    <definedName name="DH_RL" localSheetId="6">#REF!</definedName>
    <definedName name="DH_RL" localSheetId="2">#REF!</definedName>
    <definedName name="DH_RL" localSheetId="5">#REF!</definedName>
    <definedName name="DH_RL" localSheetId="3">#REF!</definedName>
    <definedName name="DH_RL" localSheetId="4">#REF!</definedName>
    <definedName name="DH_RL">#REF!</definedName>
    <definedName name="fg" localSheetId="6">#REF!</definedName>
    <definedName name="fg" localSheetId="5">#REF!</definedName>
    <definedName name="fg">#REF!</definedName>
    <definedName name="gdhjfj" localSheetId="6">#REF!</definedName>
    <definedName name="gdhjfj" localSheetId="5">#REF!</definedName>
    <definedName name="gdhjfj">#REF!</definedName>
    <definedName name="MSE_Block_step" localSheetId="6">#REF!</definedName>
    <definedName name="MSE_Block_step" localSheetId="2">#REF!</definedName>
    <definedName name="MSE_Block_step" localSheetId="5">#REF!</definedName>
    <definedName name="MSE_Block_step" localSheetId="3">#REF!</definedName>
    <definedName name="MSE_Block_step" localSheetId="4">#REF!</definedName>
    <definedName name="MSE_Block_step">#REF!</definedName>
    <definedName name="PayItemFile">#REF!</definedName>
    <definedName name="PreComp">'OtherLists'!$A$3:$A$7</definedName>
    <definedName name="Q" localSheetId="6">#REF!</definedName>
    <definedName name="Q" localSheetId="5">#REF!</definedName>
    <definedName name="Q">#REF!</definedName>
    <definedName name="qatg" localSheetId="6">#REF!</definedName>
    <definedName name="qatg" localSheetId="5">#REF!</definedName>
    <definedName name="qatg">#REF!</definedName>
    <definedName name="S" localSheetId="6">#REF!</definedName>
    <definedName name="S" localSheetId="5">#REF!</definedName>
    <definedName name="S">#REF!</definedName>
    <definedName name="t" localSheetId="6">#REF!</definedName>
    <definedName name="t" localSheetId="5">#REF!</definedName>
    <definedName name="t">#REF!</definedName>
    <definedName name="UnitList">'OtherLists'!$J$3:$J$30</definedName>
    <definedName name="W" localSheetId="6">#REF!</definedName>
    <definedName name="W" localSheetId="5">#REF!</definedName>
    <definedName name="W">#REF!</definedName>
  </definedNames>
  <calcPr fullCalcOnLoad="1"/>
</workbook>
</file>

<file path=xl/sharedStrings.xml><?xml version="1.0" encoding="utf-8"?>
<sst xmlns="http://schemas.openxmlformats.org/spreadsheetml/2006/main" count="1145" uniqueCount="311">
  <si>
    <t>MFBM</t>
  </si>
  <si>
    <t>UNIT</t>
  </si>
  <si>
    <t>MILE</t>
  </si>
  <si>
    <t>TON</t>
  </si>
  <si>
    <t>MGAL</t>
  </si>
  <si>
    <t>GAL</t>
  </si>
  <si>
    <t>LB</t>
  </si>
  <si>
    <t>CF</t>
  </si>
  <si>
    <t>OZ</t>
  </si>
  <si>
    <t>DAY</t>
  </si>
  <si>
    <t>TM</t>
  </si>
  <si>
    <t>MKFT</t>
  </si>
  <si>
    <t>Description</t>
  </si>
  <si>
    <t>A</t>
  </si>
  <si>
    <t>B</t>
  </si>
  <si>
    <t>C</t>
  </si>
  <si>
    <t>D</t>
  </si>
  <si>
    <t>E</t>
  </si>
  <si>
    <t>F</t>
  </si>
  <si>
    <t>G</t>
  </si>
  <si>
    <t>H</t>
  </si>
  <si>
    <t>I</t>
  </si>
  <si>
    <t>J</t>
  </si>
  <si>
    <t>K</t>
  </si>
  <si>
    <t>L</t>
  </si>
  <si>
    <t>M</t>
  </si>
  <si>
    <t>N</t>
  </si>
  <si>
    <t>O</t>
  </si>
  <si>
    <t>P</t>
  </si>
  <si>
    <t>Q</t>
  </si>
  <si>
    <t>R</t>
  </si>
  <si>
    <t>S</t>
  </si>
  <si>
    <t>T</t>
  </si>
  <si>
    <t>U</t>
  </si>
  <si>
    <t>V</t>
  </si>
  <si>
    <t>W</t>
  </si>
  <si>
    <t>X</t>
  </si>
  <si>
    <t>Y</t>
  </si>
  <si>
    <t>Z</t>
  </si>
  <si>
    <t>Pre-Defined Components</t>
  </si>
  <si>
    <t>SUPER STR</t>
  </si>
  <si>
    <t>APP SLAB</t>
  </si>
  <si>
    <t>EACH</t>
  </si>
  <si>
    <t>LF</t>
  </si>
  <si>
    <t>L S</t>
  </si>
  <si>
    <t>CY</t>
  </si>
  <si>
    <t>HOUR</t>
  </si>
  <si>
    <t/>
  </si>
  <si>
    <t>ACRE</t>
  </si>
  <si>
    <t>SY</t>
  </si>
  <si>
    <t>SF</t>
  </si>
  <si>
    <t>DOL</t>
  </si>
  <si>
    <t>SHML</t>
  </si>
  <si>
    <t>LM</t>
  </si>
  <si>
    <t>MON</t>
  </si>
  <si>
    <t>WD</t>
  </si>
  <si>
    <t>WK</t>
  </si>
  <si>
    <t>YM</t>
  </si>
  <si>
    <t>F A</t>
  </si>
  <si>
    <t>Alpha</t>
  </si>
  <si>
    <t>ABUT</t>
  </si>
  <si>
    <t>PIER</t>
  </si>
  <si>
    <t>WALL</t>
  </si>
  <si>
    <t>Created By:</t>
  </si>
  <si>
    <t>Date Created:</t>
  </si>
  <si>
    <t>Project #</t>
  </si>
  <si>
    <t>Sub Account #</t>
  </si>
  <si>
    <t>Structure #</t>
  </si>
  <si>
    <t>Assumptions:</t>
  </si>
  <si>
    <t>BAR LIST - SUPERSTRUCTURE</t>
  </si>
  <si>
    <t>Black</t>
  </si>
  <si>
    <t>Bar</t>
  </si>
  <si>
    <t>No.</t>
  </si>
  <si>
    <t>Total</t>
  </si>
  <si>
    <t>Size</t>
  </si>
  <si>
    <t>Req'd</t>
  </si>
  <si>
    <t>Spacing</t>
  </si>
  <si>
    <t>Length</t>
  </si>
  <si>
    <t>Type</t>
  </si>
  <si>
    <t>Weight</t>
  </si>
  <si>
    <t>BAR SUMMARY - SUPERSTRUCTURE</t>
  </si>
  <si>
    <t>#4</t>
  </si>
  <si>
    <t>#5</t>
  </si>
  <si>
    <t>#6</t>
  </si>
  <si>
    <t>#7</t>
  </si>
  <si>
    <t>#8</t>
  </si>
  <si>
    <t>#9</t>
  </si>
  <si>
    <t>#10</t>
  </si>
  <si>
    <t>#11</t>
  </si>
  <si>
    <t>Note</t>
  </si>
  <si>
    <t>Input</t>
  </si>
  <si>
    <t>R Align</t>
  </si>
  <si>
    <t>Units</t>
  </si>
  <si>
    <t>Calculation</t>
  </si>
  <si>
    <t>Assumption</t>
  </si>
  <si>
    <t>Linked</t>
  </si>
  <si>
    <t>Ttl Header</t>
  </si>
  <si>
    <t>Item</t>
  </si>
  <si>
    <t>Location</t>
  </si>
  <si>
    <t>Deck</t>
  </si>
  <si>
    <t>or</t>
  </si>
  <si>
    <t>Black Steel</t>
  </si>
  <si>
    <t>#3</t>
  </si>
  <si>
    <t>Everything placed above the bearing seats is included in Superstructure quantities</t>
  </si>
  <si>
    <t>Black Total =</t>
  </si>
  <si>
    <t>Cell Styles Legend</t>
  </si>
  <si>
    <t>Epoxy Coated Steel</t>
  </si>
  <si>
    <t>Epoxy</t>
  </si>
  <si>
    <t>Epoxy Total =</t>
  </si>
  <si>
    <t>Steel Weight [lb/ft]</t>
  </si>
  <si>
    <t>Bar Size</t>
  </si>
  <si>
    <t>Normal</t>
  </si>
  <si>
    <t>7"</t>
  </si>
  <si>
    <t>Hooked</t>
  </si>
  <si>
    <t>Top Mat Longitudinal</t>
  </si>
  <si>
    <t>6"</t>
  </si>
  <si>
    <t>772'-9"</t>
  </si>
  <si>
    <t>Straight</t>
  </si>
  <si>
    <t>Bottom Mat Transverse</t>
  </si>
  <si>
    <t>132'-5"</t>
  </si>
  <si>
    <t>Bottom Mat Longitudinal</t>
  </si>
  <si>
    <t>Top Mat Longitudinal Span 6 long</t>
  </si>
  <si>
    <t>Top Mat Longitudinal Span 2</t>
  </si>
  <si>
    <t>Top Mat Longitudinal Span 3</t>
  </si>
  <si>
    <t>Top Mat Longitudinal Span 4</t>
  </si>
  <si>
    <t>Top Mat Longitudinal Span 5</t>
  </si>
  <si>
    <t>Negative Moment Steel</t>
  </si>
  <si>
    <t>60'-0"</t>
  </si>
  <si>
    <t>Sidewalks</t>
  </si>
  <si>
    <t>Longitudinal</t>
  </si>
  <si>
    <t>18"</t>
  </si>
  <si>
    <t>Transverse</t>
  </si>
  <si>
    <t>9'-2"</t>
  </si>
  <si>
    <t>2'-4"</t>
  </si>
  <si>
    <t>Abutment Diaphragms</t>
  </si>
  <si>
    <t>Abutment diaprhagms are the same</t>
  </si>
  <si>
    <t>All Pier Diaphragms are the same</t>
  </si>
  <si>
    <t>Projected into approach Slabs</t>
  </si>
  <si>
    <t>1'-0"</t>
  </si>
  <si>
    <t>3'-6"</t>
  </si>
  <si>
    <t>Top Transverse</t>
  </si>
  <si>
    <t>137'-0"</t>
  </si>
  <si>
    <t>#6 horizontal bars in Hidewall</t>
  </si>
  <si>
    <t>#9 horizontal bars in hidewall</t>
  </si>
  <si>
    <t>bottom between girders</t>
  </si>
  <si>
    <t>5'-11"</t>
  </si>
  <si>
    <t>Bottom outside girders</t>
  </si>
  <si>
    <t>3'-2"</t>
  </si>
  <si>
    <t>Bars Through Girders</t>
  </si>
  <si>
    <t>7'-0"</t>
  </si>
  <si>
    <t>Vertical bars @ each side of girders</t>
  </si>
  <si>
    <t>3'-8.5"</t>
  </si>
  <si>
    <t>Horizontal along FF Long</t>
  </si>
  <si>
    <t>Horizontal along FF Short</t>
  </si>
  <si>
    <t>9"</t>
  </si>
  <si>
    <t>6'-9"</t>
  </si>
  <si>
    <t>3'-9"</t>
  </si>
  <si>
    <t>Lower Stirrup between girders</t>
  </si>
  <si>
    <t>Higher stirrup between girders</t>
  </si>
  <si>
    <t>Lower Stirrup at girders</t>
  </si>
  <si>
    <t>Higher stirrup at girders</t>
  </si>
  <si>
    <t>Stirrup</t>
  </si>
  <si>
    <t>12'-9"</t>
  </si>
  <si>
    <t>13'-11"</t>
  </si>
  <si>
    <t>21'-3.5"</t>
  </si>
  <si>
    <t>9'-10"</t>
  </si>
  <si>
    <t>17'-9.5"</t>
  </si>
  <si>
    <t>Hooks at end of girders</t>
  </si>
  <si>
    <t>Hook</t>
  </si>
  <si>
    <t>7'-11"</t>
  </si>
  <si>
    <t>Loops around blockout</t>
  </si>
  <si>
    <t>4'-2.5"</t>
  </si>
  <si>
    <t>Loop</t>
  </si>
  <si>
    <t>Abutment Wingwalls</t>
  </si>
  <si>
    <t>Hooks along BF abutment</t>
  </si>
  <si>
    <t>7'-2"</t>
  </si>
  <si>
    <t>1'-6"</t>
  </si>
  <si>
    <t>Inside face horizontal</t>
  </si>
  <si>
    <t>21'-5"</t>
  </si>
  <si>
    <t>Outside face horizontal</t>
  </si>
  <si>
    <t>9'-9"</t>
  </si>
  <si>
    <t>Horizontal Stirrup</t>
  </si>
  <si>
    <t>Top Cap</t>
  </si>
  <si>
    <t>Pier Diaphragms</t>
  </si>
  <si>
    <t>Top Horizontal bars</t>
  </si>
  <si>
    <t>18'-4"</t>
  </si>
  <si>
    <t>5'-0"</t>
  </si>
  <si>
    <t>Continuous along CL Pier</t>
  </si>
  <si>
    <t>133'-0"</t>
  </si>
  <si>
    <t>Top bar between girders</t>
  </si>
  <si>
    <t>Middle bars between girders</t>
  </si>
  <si>
    <t>bottom bar between girders</t>
  </si>
  <si>
    <t>5'-1"</t>
  </si>
  <si>
    <t>BAR LIST - Abutment 1</t>
  </si>
  <si>
    <t>BAR SUMMARY - Abutment 1</t>
  </si>
  <si>
    <t>Bearing Seat</t>
  </si>
  <si>
    <t>Vertical bars at ends</t>
  </si>
  <si>
    <t>11'-9.5"</t>
  </si>
  <si>
    <t>Horizontal in each face</t>
  </si>
  <si>
    <t>133'-2"</t>
  </si>
  <si>
    <t>Stirrups between Piles</t>
  </si>
  <si>
    <t>Full Length Primary Horizontal</t>
  </si>
  <si>
    <t>130'-9"</t>
  </si>
  <si>
    <t>Mid Length Primary horizontal</t>
  </si>
  <si>
    <t>Short Length Primary horizontal</t>
  </si>
  <si>
    <t>22'-8"</t>
  </si>
  <si>
    <t>83'-8"</t>
  </si>
  <si>
    <t>20'-0"</t>
  </si>
  <si>
    <t>Bottom Horizontal bars</t>
  </si>
  <si>
    <t>Vertical Stirrup</t>
  </si>
  <si>
    <t>6'-8"</t>
  </si>
  <si>
    <t>Pile Cap hook from wingwall</t>
  </si>
  <si>
    <t>4'-7"</t>
  </si>
  <si>
    <t>Pile cap top stirrup</t>
  </si>
  <si>
    <t>3'-1"</t>
  </si>
  <si>
    <t>stirrup</t>
  </si>
  <si>
    <t>Pile Cap U bars on 4 sides</t>
  </si>
  <si>
    <t>Pile Cap horizontal along face</t>
  </si>
  <si>
    <t>Pile Cap bottom horizontal bars</t>
  </si>
  <si>
    <t>Pile Cap top horizontal bars</t>
  </si>
  <si>
    <t>BAR LIST - Pier 2</t>
  </si>
  <si>
    <t>BAR SUMMARY - Pier 2</t>
  </si>
  <si>
    <t>Pier Cap</t>
  </si>
  <si>
    <t>Column</t>
  </si>
  <si>
    <t>End C bars</t>
  </si>
  <si>
    <t>8'-2"</t>
  </si>
  <si>
    <t>Vertical Projected into diaphragm @ CL Pier</t>
  </si>
  <si>
    <t>7'-6"</t>
  </si>
  <si>
    <t>Horizontal along faces</t>
  </si>
  <si>
    <t>126'-8"</t>
  </si>
  <si>
    <t>Stirrups</t>
  </si>
  <si>
    <t>46'-5"</t>
  </si>
  <si>
    <t>131'-11"</t>
  </si>
  <si>
    <t>Column Loops</t>
  </si>
  <si>
    <t>13'-1.5"</t>
  </si>
  <si>
    <t>Column Vertical</t>
  </si>
  <si>
    <t>14'-10"</t>
  </si>
  <si>
    <t>BAR LIST - Pier 3</t>
  </si>
  <si>
    <t>BAR SUMMARY - Pier 3</t>
  </si>
  <si>
    <t>17'-0"</t>
  </si>
  <si>
    <t>BAR LIST - Abutment 7</t>
  </si>
  <si>
    <t>BAR SUMMARY - Abutment 7</t>
  </si>
  <si>
    <t>BAR SUMMARY - Approach Slabs</t>
  </si>
  <si>
    <t>BAR LIST - Approach Slabs</t>
  </si>
  <si>
    <t>Approach Slab</t>
  </si>
  <si>
    <t>Top Mat Transverse</t>
  </si>
  <si>
    <t>23'-4.5"</t>
  </si>
  <si>
    <t>128'-8"</t>
  </si>
  <si>
    <t>20'-2.5"</t>
  </si>
  <si>
    <t>6'-6"</t>
  </si>
  <si>
    <t>Additional steel perpendicular to Bridge Rail</t>
  </si>
  <si>
    <t>Additional Steel Parallel to Bridge Rail</t>
  </si>
  <si>
    <t>Additional Steel at drain corners</t>
  </si>
  <si>
    <t>3'-0"</t>
  </si>
  <si>
    <t>Additional Steel Perpendicular to Drain</t>
  </si>
  <si>
    <t>2'-6"</t>
  </si>
  <si>
    <t>Sleeper Slab</t>
  </si>
  <si>
    <t>Additional expansion joint steel</t>
  </si>
  <si>
    <t>109'-2"</t>
  </si>
  <si>
    <t>Horizontal Steel</t>
  </si>
  <si>
    <t>7'-10"</t>
  </si>
  <si>
    <t>Additional U bars at ends of sleeper</t>
  </si>
  <si>
    <t>4'-2"</t>
  </si>
  <si>
    <t>3'-8"</t>
  </si>
  <si>
    <t>Transverse Phase 1 (top &amp; bottom)</t>
  </si>
  <si>
    <t>53'-3"</t>
  </si>
  <si>
    <t>Transverse Phase 2 (top &amp; bottom)</t>
  </si>
  <si>
    <t>Transverse Phase 3 (top &amp; bottom)</t>
  </si>
  <si>
    <t>41'-5"</t>
  </si>
  <si>
    <t>38'-0"</t>
  </si>
  <si>
    <t>Top Mat Longitudinal Span 1 (Average Length)</t>
  </si>
  <si>
    <t>112'-3.5"</t>
  </si>
  <si>
    <t>Top Mat Longitudinal Span 1 Splices</t>
  </si>
  <si>
    <t>1'-4"</t>
  </si>
  <si>
    <t>84'-4"</t>
  </si>
  <si>
    <t>Top Mat Longitudinal Span 2 Splices</t>
  </si>
  <si>
    <t>Top Mat Longitudinal Span 3 Splices</t>
  </si>
  <si>
    <t>69'-4"</t>
  </si>
  <si>
    <t>Top Mat Longitudinal Span 4 Splices</t>
  </si>
  <si>
    <t>Top Mat Longitudinal Span 5 Splices</t>
  </si>
  <si>
    <t>77'-3.5"</t>
  </si>
  <si>
    <t>Top Mat Longitudinal Span 6 Splices</t>
  </si>
  <si>
    <t>750'-3"</t>
  </si>
  <si>
    <t>Bottom Mat Longitudinal Splices</t>
  </si>
  <si>
    <t>Span 1 Haunch longitudinal &gt;5"</t>
  </si>
  <si>
    <t>Span 1 Haunch longitudinal &gt;7"</t>
  </si>
  <si>
    <t>111'-3.5"</t>
  </si>
  <si>
    <t>Span 1 Haunch longitudinal &gt;5" Splices</t>
  </si>
  <si>
    <t>Assumed Haunch is &gt;7" for 45' (including splices)</t>
  </si>
  <si>
    <t>45'-0"</t>
  </si>
  <si>
    <t>Span 1 Haunch Stirrup (Interior Girders)</t>
  </si>
  <si>
    <t>Span 1 Haunch Stirrup (Exterior Girders)</t>
  </si>
  <si>
    <t>9'-8"</t>
  </si>
  <si>
    <t>8'-6"</t>
  </si>
  <si>
    <t>Hooks short</t>
  </si>
  <si>
    <t>Hooks long</t>
  </si>
  <si>
    <t>2'-10"</t>
  </si>
  <si>
    <t>2'-0"</t>
  </si>
  <si>
    <t>6'-0"</t>
  </si>
  <si>
    <t>Pedastals</t>
  </si>
  <si>
    <t>Vertical #5</t>
  </si>
  <si>
    <t>1'-10.75"</t>
  </si>
  <si>
    <t>#6 hat shape</t>
  </si>
  <si>
    <t>11'-0"</t>
  </si>
  <si>
    <t>#5 hat shape</t>
  </si>
  <si>
    <t>9'-0"</t>
  </si>
  <si>
    <t>#5 U</t>
  </si>
  <si>
    <t>XXXXXXXXX</t>
  </si>
  <si>
    <t>MM/DD/YYYY</t>
  </si>
  <si>
    <t>XXXXX</t>
  </si>
  <si>
    <t>X-XX-XX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</si>
</sst>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_(* #,##0_);_(* \(#,##0\);_(* &quot;-&quot;??_);_(@_)"/>
    <numFmt numFmtId="166" formatCode="0.000"/>
    <numFmt numFmtId="167" formatCode="0.0000"/>
  </numFmts>
  <fonts count="51">
    <font>
      <sz val="10"/>
      <name val="Arial"/>
      <family val="0"/>
    </font>
    <font>
      <sz val="12"/>
      <color indexed="8"/>
      <name val="Tahoma"/>
      <family val="2"/>
    </font>
    <font>
      <sz val="8"/>
      <name val="Arial"/>
      <family val="2"/>
    </font>
    <font>
      <sz val="10"/>
      <name val="Arial monospaced for SAP"/>
      <family val="3"/>
    </font>
    <font>
      <b/>
      <sz val="10"/>
      <name val="Arial"/>
      <family val="2"/>
    </font>
    <font>
      <b/>
      <sz val="15"/>
      <color indexed="56"/>
      <name val="Calibri"/>
      <family val="2"/>
    </font>
    <font>
      <b/>
      <sz val="13"/>
      <color indexed="56"/>
      <name val="Calibri"/>
      <family val="2"/>
    </font>
    <font>
      <sz val="11"/>
      <color indexed="62"/>
      <name val="Calibri"/>
      <family val="2"/>
    </font>
    <font>
      <b/>
      <sz val="11"/>
      <color indexed="63"/>
      <name val="Calibri"/>
      <family val="2"/>
    </font>
    <font>
      <b/>
      <sz val="11"/>
      <color indexed="52"/>
      <name val="Calibri"/>
      <family val="2"/>
    </font>
    <font>
      <i/>
      <sz val="11"/>
      <color indexed="23"/>
      <name val="Calibri"/>
      <family val="2"/>
    </font>
    <font>
      <b/>
      <sz val="11"/>
      <color indexed="8"/>
      <name val="Calibri"/>
      <family val="2"/>
    </font>
    <font>
      <sz val="10"/>
      <name val="Courier"/>
      <family val="3"/>
    </font>
    <font>
      <b/>
      <sz val="10"/>
      <color indexed="8"/>
      <name val="Courier"/>
      <family val="3"/>
    </font>
    <font>
      <sz val="10"/>
      <color indexed="8"/>
      <name val="Courier"/>
      <family val="3"/>
    </font>
    <font>
      <b/>
      <sz val="10"/>
      <name val="Courier"/>
      <family val="3"/>
    </font>
    <font>
      <b/>
      <u val="single"/>
      <sz val="12"/>
      <name val="Arial"/>
      <family val="2"/>
    </font>
    <font>
      <b/>
      <sz val="18"/>
      <color indexed="56"/>
      <name val="Cambria"/>
      <family val="2"/>
    </font>
    <font>
      <b/>
      <sz val="11"/>
      <color indexed="56"/>
      <name val="Tahoma"/>
      <family val="2"/>
    </font>
    <font>
      <sz val="12"/>
      <color indexed="17"/>
      <name val="Tahoma"/>
      <family val="2"/>
    </font>
    <font>
      <sz val="12"/>
      <color indexed="20"/>
      <name val="Tahoma"/>
      <family val="2"/>
    </font>
    <font>
      <sz val="12"/>
      <color indexed="60"/>
      <name val="Tahoma"/>
      <family val="2"/>
    </font>
    <font>
      <b/>
      <sz val="12"/>
      <color indexed="63"/>
      <name val="Tahoma"/>
      <family val="2"/>
    </font>
    <font>
      <sz val="12"/>
      <color indexed="52"/>
      <name val="Tahoma"/>
      <family val="2"/>
    </font>
    <font>
      <b/>
      <sz val="12"/>
      <color indexed="9"/>
      <name val="Tahoma"/>
      <family val="2"/>
    </font>
    <font>
      <sz val="12"/>
      <color indexed="10"/>
      <name val="Tahoma"/>
      <family val="2"/>
    </font>
    <font>
      <b/>
      <sz val="12"/>
      <color indexed="8"/>
      <name val="Tahoma"/>
      <family val="2"/>
    </font>
    <font>
      <sz val="12"/>
      <color indexed="9"/>
      <name val="Tahoma"/>
      <family val="2"/>
    </font>
    <font>
      <b/>
      <u val="single"/>
      <sz val="10"/>
      <color indexed="8"/>
      <name val="Arial"/>
      <family val="0"/>
    </font>
    <font>
      <sz val="10"/>
      <color indexed="8"/>
      <name val="Arial"/>
      <family val="0"/>
    </font>
    <font>
      <sz val="11"/>
      <color indexed="8"/>
      <name val="Calibri"/>
      <family val="0"/>
    </font>
    <font>
      <sz val="12"/>
      <color theme="1"/>
      <name val="Tahoma"/>
      <family val="2"/>
    </font>
    <font>
      <sz val="12"/>
      <color theme="0"/>
      <name val="Tahoma"/>
      <family val="2"/>
    </font>
    <font>
      <sz val="12"/>
      <color rgb="FF9C0006"/>
      <name val="Tahoma"/>
      <family val="2"/>
    </font>
    <font>
      <b/>
      <sz val="11"/>
      <color rgb="FFFA7D00"/>
      <name val="Calibri"/>
      <family val="2"/>
    </font>
    <font>
      <b/>
      <sz val="12"/>
      <color theme="0"/>
      <name val="Tahoma"/>
      <family val="2"/>
    </font>
    <font>
      <i/>
      <sz val="11"/>
      <color rgb="FF7F7F7F"/>
      <name val="Calibri"/>
      <family val="2"/>
    </font>
    <font>
      <sz val="12"/>
      <color rgb="FF006100"/>
      <name val="Tahoma"/>
      <family val="2"/>
    </font>
    <font>
      <b/>
      <sz val="15"/>
      <color theme="3"/>
      <name val="Calibri"/>
      <family val="2"/>
    </font>
    <font>
      <b/>
      <sz val="13"/>
      <color theme="3"/>
      <name val="Calibri"/>
      <family val="2"/>
    </font>
    <font>
      <b/>
      <sz val="11"/>
      <color theme="3"/>
      <name val="Tahoma"/>
      <family val="2"/>
    </font>
    <font>
      <sz val="11"/>
      <color rgb="FF3F3F76"/>
      <name val="Calibri"/>
      <family val="2"/>
    </font>
    <font>
      <sz val="11"/>
      <color theme="3" tint="0.3999499976634979"/>
      <name val="Calibri"/>
      <family val="2"/>
    </font>
    <font>
      <sz val="12"/>
      <color rgb="FFFA7D00"/>
      <name val="Tahoma"/>
      <family val="2"/>
    </font>
    <font>
      <sz val="12"/>
      <color rgb="FF9C6500"/>
      <name val="Tahoma"/>
      <family val="2"/>
    </font>
    <font>
      <b/>
      <sz val="12"/>
      <color rgb="FF3F3F3F"/>
      <name val="Tahoma"/>
      <family val="2"/>
    </font>
    <font>
      <b/>
      <sz val="18"/>
      <color theme="3"/>
      <name val="Cambria"/>
      <family val="2"/>
    </font>
    <font>
      <b/>
      <sz val="12"/>
      <color theme="1"/>
      <name val="Tahoma"/>
      <family val="2"/>
    </font>
    <font>
      <b/>
      <sz val="11"/>
      <color theme="1"/>
      <name val="Calibri"/>
      <family val="2"/>
    </font>
    <font>
      <b/>
      <sz val="11"/>
      <color rgb="FF3F3F3F"/>
      <name val="Calibri"/>
      <family val="2"/>
    </font>
    <font>
      <sz val="12"/>
      <color rgb="FFFF0000"/>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bottom/>
    </border>
    <border>
      <left style="thin"/>
      <right style="thin">
        <color rgb="FFB2B2B2"/>
      </right>
      <top style="thin"/>
      <bottom style="thin">
        <color rgb="FFB2B2B2"/>
      </bottom>
    </border>
    <border>
      <left style="thin">
        <color rgb="FF7F7F7F"/>
      </left>
      <right style="thin">
        <color rgb="FF7F7F7F"/>
      </right>
      <top style="thin"/>
      <bottom style="thin">
        <color rgb="FF7F7F7F"/>
      </bottom>
    </border>
    <border>
      <left style="thin">
        <color rgb="FF3F3F3F"/>
      </left>
      <right style="thin"/>
      <top style="thin"/>
      <bottom style="thin">
        <color rgb="FF3F3F3F"/>
      </bottom>
    </border>
    <border>
      <left style="thin"/>
      <right style="thin">
        <color rgb="FF7F7F7F"/>
      </right>
      <top style="thin">
        <color rgb="FF7F7F7F"/>
      </top>
      <bottom style="thin">
        <color rgb="FF7F7F7F"/>
      </bottom>
    </border>
    <border>
      <left/>
      <right style="thin"/>
      <top/>
      <bottom style="thick">
        <color theme="4"/>
      </bottom>
    </border>
    <border>
      <left style="thin"/>
      <right/>
      <top/>
      <bottom/>
    </border>
    <border>
      <left/>
      <right style="thin"/>
      <top/>
      <bottom style="thick">
        <color theme="4" tint="0.49998000264167786"/>
      </bottom>
    </border>
    <border>
      <left style="thin"/>
      <right/>
      <top/>
      <bottom style="thin"/>
    </border>
    <border>
      <left/>
      <right/>
      <top style="thin">
        <color theme="4"/>
      </top>
      <bottom style="thin"/>
    </border>
    <border>
      <left/>
      <right/>
      <top/>
      <bottom style="thin"/>
    </border>
    <border>
      <left style="thin"/>
      <right style="thin"/>
      <top style="thin"/>
      <bottom style="thin"/>
    </border>
    <border>
      <left style="thin">
        <color rgb="FF7F7F7F"/>
      </left>
      <right style="thin"/>
      <top style="thin">
        <color rgb="FF7F7F7F"/>
      </top>
      <bottom style="thin">
        <color rgb="FF7F7F7F"/>
      </bottom>
    </border>
    <border>
      <left/>
      <right/>
      <top style="thick">
        <color theme="4" tint="0.49998000264167786"/>
      </top>
      <bottom/>
    </border>
    <border>
      <left style="thin"/>
      <right/>
      <top style="thick">
        <color theme="4" tint="0.49998000264167786"/>
      </top>
      <bottom/>
    </border>
    <border>
      <left style="thin">
        <color rgb="FF7F7F7F"/>
      </left>
      <right style="thin">
        <color rgb="FF7F7F7F"/>
      </right>
      <top style="thin"/>
      <bottom/>
    </border>
    <border>
      <left style="thin"/>
      <right style="thin"/>
      <top/>
      <bottom style="thin">
        <color rgb="FF7F7F7F"/>
      </bottom>
    </border>
    <border>
      <left style="thin"/>
      <right style="thin"/>
      <top style="thick">
        <color theme="4" tint="0.49998000264167786"/>
      </top>
      <bottom/>
    </border>
    <border>
      <left/>
      <right style="thin"/>
      <top style="thin">
        <color theme="4"/>
      </top>
      <bottom style="thin"/>
    </border>
    <border>
      <left/>
      <right style="thin"/>
      <top style="thick">
        <color theme="4" tint="0.49998000264167786"/>
      </top>
      <bottom style="thin"/>
    </border>
    <border>
      <left style="thin"/>
      <right style="thin">
        <color rgb="FF3F3F3F"/>
      </right>
      <top style="thin">
        <color rgb="FF3F3F3F"/>
      </top>
      <bottom style="thin"/>
    </border>
    <border>
      <left style="thin">
        <color rgb="FF3F3F3F"/>
      </left>
      <right style="thin">
        <color rgb="FF3F3F3F"/>
      </right>
      <top style="thin">
        <color rgb="FF3F3F3F"/>
      </top>
      <bottom style="thin"/>
    </border>
    <border>
      <left/>
      <right/>
      <top style="thick">
        <color theme="4" tint="0.49998000264167786"/>
      </top>
      <bottom style="thick">
        <color theme="4" tint="0.49998000264167786"/>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2" fontId="42" fillId="27" borderId="0">
      <alignment/>
      <protection/>
    </xf>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0" fillId="0" borderId="0">
      <alignment horizontal="right"/>
      <protection/>
    </xf>
    <xf numFmtId="0" fontId="46" fillId="0" borderId="0" applyNumberFormat="0" applyFill="0" applyBorder="0" applyAlignment="0" applyProtection="0"/>
    <xf numFmtId="0" fontId="47" fillId="0" borderId="9" applyNumberFormat="0" applyFill="0" applyAlignment="0" applyProtection="0"/>
    <xf numFmtId="2" fontId="48" fillId="0" borderId="9">
      <alignment horizontal="center"/>
      <protection/>
    </xf>
    <xf numFmtId="0" fontId="49" fillId="27" borderId="8">
      <alignment horizontal="center"/>
      <protection/>
    </xf>
    <xf numFmtId="0" fontId="0" fillId="0" borderId="0">
      <alignment horizontal="left"/>
      <protection/>
    </xf>
    <xf numFmtId="0" fontId="50" fillId="0" borderId="0" applyNumberFormat="0" applyFill="0" applyBorder="0" applyAlignment="0" applyProtection="0"/>
  </cellStyleXfs>
  <cellXfs count="78">
    <xf numFmtId="0" fontId="0" fillId="0" borderId="0" xfId="0" applyAlignment="1">
      <alignment/>
    </xf>
    <xf numFmtId="0" fontId="3" fillId="0" borderId="0" xfId="0" applyFont="1" applyAlignment="1">
      <alignment/>
    </xf>
    <xf numFmtId="0" fontId="0" fillId="0" borderId="0" xfId="0" applyFont="1" applyAlignment="1">
      <alignment/>
    </xf>
    <xf numFmtId="164" fontId="13" fillId="0" borderId="0" xfId="0" applyNumberFormat="1" applyFont="1" applyAlignment="1" applyProtection="1">
      <alignment horizontal="left"/>
      <protection locked="0"/>
    </xf>
    <xf numFmtId="164" fontId="14" fillId="0" borderId="0" xfId="0" applyNumberFormat="1" applyFont="1" applyAlignment="1" applyProtection="1">
      <alignment horizontal="left"/>
      <protection locked="0"/>
    </xf>
    <xf numFmtId="0" fontId="12" fillId="0" borderId="0" xfId="0" applyFont="1" applyAlignment="1">
      <alignment/>
    </xf>
    <xf numFmtId="0" fontId="0" fillId="0" borderId="0" xfId="0" applyAlignment="1">
      <alignment/>
    </xf>
    <xf numFmtId="164" fontId="13" fillId="0" borderId="0" xfId="0" applyNumberFormat="1" applyFont="1" applyAlignment="1" applyProtection="1">
      <alignment horizontal="right"/>
      <protection locked="0"/>
    </xf>
    <xf numFmtId="164" fontId="14" fillId="0" borderId="0" xfId="0" applyNumberFormat="1" applyFont="1" applyAlignment="1" applyProtection="1">
      <alignment horizontal="left"/>
      <protection locked="0"/>
    </xf>
    <xf numFmtId="164" fontId="12" fillId="0" borderId="0" xfId="0" applyNumberFormat="1" applyFont="1" applyAlignment="1" applyProtection="1">
      <alignment horizontal="right"/>
      <protection locked="0"/>
    </xf>
    <xf numFmtId="0" fontId="0" fillId="0" borderId="0" xfId="0" applyAlignment="1">
      <alignment/>
    </xf>
    <xf numFmtId="0" fontId="12" fillId="0" borderId="0" xfId="0" applyFont="1" applyAlignment="1">
      <alignment horizontal="left"/>
    </xf>
    <xf numFmtId="0" fontId="15" fillId="0" borderId="0" xfId="0" applyFont="1" applyAlignment="1">
      <alignment/>
    </xf>
    <xf numFmtId="0" fontId="12" fillId="0" borderId="0" xfId="0" applyFont="1" applyBorder="1" applyAlignment="1">
      <alignment horizontal="center"/>
    </xf>
    <xf numFmtId="0" fontId="12" fillId="0" borderId="0" xfId="0" applyFont="1" applyBorder="1" applyAlignment="1">
      <alignment horizontal="centerContinuous"/>
    </xf>
    <xf numFmtId="0" fontId="12" fillId="0" borderId="0" xfId="0" applyFont="1" applyAlignment="1">
      <alignment horizontal="center"/>
    </xf>
    <xf numFmtId="0" fontId="12" fillId="0" borderId="0" xfId="0" applyFont="1" applyAlignment="1">
      <alignment/>
    </xf>
    <xf numFmtId="43" fontId="12" fillId="0" borderId="0" xfId="0" applyNumberFormat="1" applyFont="1" applyAlignment="1">
      <alignment/>
    </xf>
    <xf numFmtId="165" fontId="12" fillId="0" borderId="0" xfId="0" applyNumberFormat="1" applyFont="1" applyAlignment="1">
      <alignment/>
    </xf>
    <xf numFmtId="166" fontId="12" fillId="0" borderId="0" xfId="0" applyNumberFormat="1" applyFont="1" applyAlignment="1">
      <alignment horizontal="center"/>
    </xf>
    <xf numFmtId="167" fontId="12" fillId="0" borderId="0" xfId="0" applyNumberFormat="1" applyFont="1" applyAlignment="1">
      <alignment horizontal="center"/>
    </xf>
    <xf numFmtId="43" fontId="0" fillId="0" borderId="0" xfId="0" applyNumberFormat="1" applyFont="1" applyAlignment="1">
      <alignment/>
    </xf>
    <xf numFmtId="0" fontId="0" fillId="0" borderId="0" xfId="0" applyAlignment="1">
      <alignment horizontal="center"/>
    </xf>
    <xf numFmtId="0" fontId="34" fillId="27" borderId="1" xfId="40" applyAlignment="1">
      <alignment/>
    </xf>
    <xf numFmtId="0" fontId="36" fillId="0" borderId="0" xfId="46" applyAlignment="1">
      <alignment/>
    </xf>
    <xf numFmtId="0" fontId="39" fillId="0" borderId="4" xfId="49" applyAlignment="1">
      <alignment/>
    </xf>
    <xf numFmtId="0" fontId="0" fillId="0" borderId="0" xfId="0" applyAlignment="1">
      <alignment/>
    </xf>
    <xf numFmtId="0" fontId="36" fillId="0" borderId="10" xfId="46" applyBorder="1" applyAlignment="1">
      <alignment/>
    </xf>
    <xf numFmtId="0" fontId="0" fillId="32" borderId="11" xfId="56" applyFont="1" applyBorder="1" applyAlignment="1">
      <alignment/>
    </xf>
    <xf numFmtId="0" fontId="34" fillId="27" borderId="12" xfId="40" applyBorder="1" applyAlignment="1">
      <alignment/>
    </xf>
    <xf numFmtId="0" fontId="49" fillId="27" borderId="13" xfId="63" applyBorder="1">
      <alignment horizontal="center"/>
      <protection/>
    </xf>
    <xf numFmtId="0" fontId="41" fillId="30" borderId="14" xfId="52" applyBorder="1" applyAlignment="1">
      <alignment/>
    </xf>
    <xf numFmtId="0" fontId="38" fillId="0" borderId="15" xfId="48" applyBorder="1" applyAlignment="1">
      <alignment/>
    </xf>
    <xf numFmtId="0" fontId="0" fillId="0" borderId="16" xfId="59" applyFont="1" applyBorder="1">
      <alignment horizontal="right"/>
      <protection/>
    </xf>
    <xf numFmtId="2" fontId="42" fillId="27" borderId="0" xfId="53" applyBorder="1">
      <alignment/>
      <protection/>
    </xf>
    <xf numFmtId="0" fontId="39" fillId="0" borderId="17" xfId="49" applyBorder="1" applyAlignment="1">
      <alignment/>
    </xf>
    <xf numFmtId="0" fontId="0" fillId="0" borderId="18" xfId="64" applyFont="1" applyBorder="1">
      <alignment horizontal="left"/>
      <protection/>
    </xf>
    <xf numFmtId="2" fontId="48" fillId="0" borderId="19" xfId="62" applyBorder="1">
      <alignment horizontal="center"/>
      <protection/>
    </xf>
    <xf numFmtId="2" fontId="0" fillId="32" borderId="7" xfId="56" applyNumberFormat="1" applyFont="1" applyAlignment="1">
      <alignment/>
    </xf>
    <xf numFmtId="164" fontId="36" fillId="0" borderId="0" xfId="46" applyNumberFormat="1" applyAlignment="1" applyProtection="1">
      <alignment horizontal="left"/>
      <protection locked="0"/>
    </xf>
    <xf numFmtId="0" fontId="41" fillId="30" borderId="1" xfId="52" applyAlignment="1">
      <alignment/>
    </xf>
    <xf numFmtId="43" fontId="34" fillId="27" borderId="1" xfId="40" applyNumberFormat="1" applyAlignment="1">
      <alignment/>
    </xf>
    <xf numFmtId="165" fontId="34" fillId="27" borderId="1" xfId="40" applyNumberFormat="1" applyAlignment="1">
      <alignment/>
    </xf>
    <xf numFmtId="166" fontId="34" fillId="27" borderId="1" xfId="40" applyNumberFormat="1" applyAlignment="1">
      <alignment horizontal="center"/>
    </xf>
    <xf numFmtId="0" fontId="41" fillId="30" borderId="1" xfId="52" applyAlignment="1">
      <alignment horizontal="center"/>
    </xf>
    <xf numFmtId="0" fontId="0" fillId="0" borderId="0" xfId="0" applyFont="1" applyAlignment="1">
      <alignment horizontal="center"/>
    </xf>
    <xf numFmtId="0" fontId="0" fillId="0" borderId="20" xfId="0" applyBorder="1" applyAlignment="1">
      <alignment horizontal="center"/>
    </xf>
    <xf numFmtId="0" fontId="4" fillId="0" borderId="21" xfId="0" applyFont="1" applyBorder="1" applyAlignment="1" quotePrefix="1">
      <alignment horizontal="center"/>
    </xf>
    <xf numFmtId="166" fontId="0" fillId="0" borderId="21" xfId="0" applyNumberFormat="1" applyBorder="1" applyAlignment="1">
      <alignment horizontal="center"/>
    </xf>
    <xf numFmtId="0" fontId="41" fillId="30" borderId="1" xfId="52" applyAlignment="1" applyProtection="1">
      <alignment horizontal="center"/>
      <protection locked="0"/>
    </xf>
    <xf numFmtId="0" fontId="4" fillId="0" borderId="0" xfId="0" applyFont="1" applyAlignment="1">
      <alignment horizontal="right"/>
    </xf>
    <xf numFmtId="0" fontId="0" fillId="0" borderId="16"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34" fillId="27" borderId="14" xfId="40" applyBorder="1" applyAlignment="1">
      <alignment horizontal="center"/>
    </xf>
    <xf numFmtId="165" fontId="34" fillId="27" borderId="22" xfId="40" applyNumberFormat="1" applyBorder="1" applyAlignment="1">
      <alignment horizontal="center"/>
    </xf>
    <xf numFmtId="0" fontId="0" fillId="0" borderId="0"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165" fontId="48" fillId="0" borderId="28" xfId="42" applyNumberFormat="1" applyFont="1" applyBorder="1" applyAlignment="1">
      <alignment horizontal="center"/>
    </xf>
    <xf numFmtId="0" fontId="34" fillId="27" borderId="1" xfId="40" applyNumberFormat="1" applyAlignment="1">
      <alignment/>
    </xf>
    <xf numFmtId="0" fontId="0" fillId="0" borderId="29" xfId="0" applyFont="1" applyBorder="1" applyAlignment="1">
      <alignment/>
    </xf>
    <xf numFmtId="1" fontId="34" fillId="27" borderId="14" xfId="40" applyNumberFormat="1" applyBorder="1" applyAlignment="1">
      <alignment horizontal="center"/>
    </xf>
    <xf numFmtId="0" fontId="39" fillId="0" borderId="4" xfId="49" applyAlignment="1">
      <alignment horizontal="center"/>
    </xf>
    <xf numFmtId="0" fontId="16" fillId="0" borderId="20" xfId="0" applyFont="1" applyBorder="1" applyAlignment="1">
      <alignment horizontal="center"/>
    </xf>
    <xf numFmtId="0" fontId="39" fillId="0" borderId="4" xfId="49" applyAlignment="1">
      <alignment horizontal="center"/>
    </xf>
    <xf numFmtId="0" fontId="49" fillId="27" borderId="30" xfId="63" applyBorder="1">
      <alignment horizontal="center"/>
      <protection/>
    </xf>
    <xf numFmtId="0" fontId="49" fillId="27" borderId="31" xfId="63" applyBorder="1">
      <alignment horizontal="center"/>
      <protection/>
    </xf>
    <xf numFmtId="0" fontId="39" fillId="0" borderId="32" xfId="49" applyBorder="1" applyAlignment="1">
      <alignment horizontal="center"/>
    </xf>
    <xf numFmtId="2" fontId="0" fillId="32" borderId="7" xfId="56" applyNumberFormat="1" applyFont="1" applyAlignment="1">
      <alignment horizontal="left"/>
    </xf>
    <xf numFmtId="0" fontId="0" fillId="32" borderId="7" xfId="56" applyFont="1" applyAlignment="1">
      <alignment/>
    </xf>
    <xf numFmtId="14" fontId="0" fillId="32" borderId="7" xfId="56" applyNumberFormat="1" applyFont="1" applyAlignment="1">
      <alignment horizontal="left"/>
    </xf>
    <xf numFmtId="1" fontId="0" fillId="32" borderId="7" xfId="56" applyNumberFormat="1" applyFont="1" applyAlignment="1">
      <alignment horizontal="left"/>
    </xf>
    <xf numFmtId="14" fontId="0" fillId="32" borderId="7" xfId="56" applyNumberFormat="1" applyFont="1" applyAlignment="1">
      <alignment/>
    </xf>
    <xf numFmtId="1" fontId="0" fillId="32" borderId="7" xfId="56" applyNumberFormat="1"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xfId="53"/>
    <cellStyle name="Linked Cell" xfId="54"/>
    <cellStyle name="Neutral" xfId="55"/>
    <cellStyle name="Note" xfId="56"/>
    <cellStyle name="Output" xfId="57"/>
    <cellStyle name="Percent" xfId="58"/>
    <cellStyle name="R Align" xfId="59"/>
    <cellStyle name="Title" xfId="60"/>
    <cellStyle name="Total" xfId="61"/>
    <cellStyle name="Totals" xfId="62"/>
    <cellStyle name="Ttl hdr" xfId="63"/>
    <cellStyle name="Units"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428625</xdr:colOff>
      <xdr:row>5</xdr:row>
      <xdr:rowOff>47625</xdr:rowOff>
    </xdr:from>
    <xdr:ext cx="6362700" cy="1924050"/>
    <xdr:sp>
      <xdr:nvSpPr>
        <xdr:cNvPr id="1" name="TextBox 1"/>
        <xdr:cNvSpPr txBox="1">
          <a:spLocks noChangeArrowheads="1"/>
        </xdr:cNvSpPr>
      </xdr:nvSpPr>
      <xdr:spPr>
        <a:xfrm>
          <a:off x="4838700" y="1133475"/>
          <a:ext cx="6362700" cy="1924050"/>
        </a:xfrm>
        <a:prstGeom prst="rect">
          <a:avLst/>
        </a:prstGeom>
        <a:solidFill>
          <a:srgbClr val="FFFFFF"/>
        </a:solidFill>
        <a:ln w="9525" cmpd="sng">
          <a:solidFill>
            <a:srgbClr val="BCBCBC"/>
          </a:solidFill>
          <a:headEnd type="none"/>
          <a:tailEnd type="none"/>
        </a:ln>
      </xdr:spPr>
      <xdr:txBody>
        <a:bodyPr vertOverflow="clip" wrap="square" lIns="91440" tIns="45720" rIns="45720" bIns="45720"/>
        <a:p>
          <a:pPr algn="l">
            <a:defRPr/>
          </a:pPr>
          <a:r>
            <a:rPr lang="en-US" cap="none" sz="1000" b="1" i="0" u="sng"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390525</xdr:colOff>
      <xdr:row>5</xdr:row>
      <xdr:rowOff>0</xdr:rowOff>
    </xdr:from>
    <xdr:ext cx="6372225" cy="1895475"/>
    <xdr:sp>
      <xdr:nvSpPr>
        <xdr:cNvPr id="1" name="TextBox 2"/>
        <xdr:cNvSpPr txBox="1">
          <a:spLocks noChangeArrowheads="1"/>
        </xdr:cNvSpPr>
      </xdr:nvSpPr>
      <xdr:spPr>
        <a:xfrm>
          <a:off x="4800600" y="1085850"/>
          <a:ext cx="6372225" cy="1895475"/>
        </a:xfrm>
        <a:prstGeom prst="rect">
          <a:avLst/>
        </a:prstGeom>
        <a:solidFill>
          <a:srgbClr val="FFFFFF"/>
        </a:solidFill>
        <a:ln w="9525" cmpd="sng">
          <a:solidFill>
            <a:srgbClr val="BCBCBC"/>
          </a:solidFill>
          <a:headEnd type="none"/>
          <a:tailEnd type="none"/>
        </a:ln>
      </xdr:spPr>
      <xdr:txBody>
        <a:bodyPr vertOverflow="clip" wrap="square" lIns="91440" tIns="45720" rIns="45720" bIns="45720"/>
        <a:p>
          <a:pPr algn="l">
            <a:defRPr/>
          </a:pPr>
          <a:r>
            <a:rPr lang="en-US" cap="none" sz="1000" b="1" i="0" u="sng"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390525</xdr:colOff>
      <xdr:row>5</xdr:row>
      <xdr:rowOff>38100</xdr:rowOff>
    </xdr:from>
    <xdr:ext cx="7105650" cy="1743075"/>
    <xdr:sp>
      <xdr:nvSpPr>
        <xdr:cNvPr id="1" name="TextBox 1"/>
        <xdr:cNvSpPr txBox="1">
          <a:spLocks noChangeArrowheads="1"/>
        </xdr:cNvSpPr>
      </xdr:nvSpPr>
      <xdr:spPr>
        <a:xfrm>
          <a:off x="4800600" y="1123950"/>
          <a:ext cx="7105650" cy="1743075"/>
        </a:xfrm>
        <a:prstGeom prst="rect">
          <a:avLst/>
        </a:prstGeom>
        <a:solidFill>
          <a:srgbClr val="FFFFFF"/>
        </a:solidFill>
        <a:ln w="9525" cmpd="sng">
          <a:solidFill>
            <a:srgbClr val="BCBCBC"/>
          </a:solidFill>
          <a:headEnd type="none"/>
          <a:tailEnd type="none"/>
        </a:ln>
      </xdr:spPr>
      <xdr:txBody>
        <a:bodyPr vertOverflow="clip" wrap="square" lIns="91440" tIns="45720" rIns="45720" bIns="45720"/>
        <a:p>
          <a:pPr algn="l">
            <a:defRPr/>
          </a:pPr>
          <a:r>
            <a:rPr lang="en-US" cap="none" sz="1000" b="1" i="0" u="sng"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371475</xdr:colOff>
      <xdr:row>5</xdr:row>
      <xdr:rowOff>95250</xdr:rowOff>
    </xdr:from>
    <xdr:ext cx="6343650" cy="2009775"/>
    <xdr:sp>
      <xdr:nvSpPr>
        <xdr:cNvPr id="1" name="TextBox 1"/>
        <xdr:cNvSpPr txBox="1">
          <a:spLocks noChangeArrowheads="1"/>
        </xdr:cNvSpPr>
      </xdr:nvSpPr>
      <xdr:spPr>
        <a:xfrm>
          <a:off x="4781550" y="1181100"/>
          <a:ext cx="6343650" cy="2009775"/>
        </a:xfrm>
        <a:prstGeom prst="rect">
          <a:avLst/>
        </a:prstGeom>
        <a:solidFill>
          <a:srgbClr val="FFFFFF"/>
        </a:solidFill>
        <a:ln w="9525" cmpd="sng">
          <a:solidFill>
            <a:srgbClr val="BCBCBC"/>
          </a:solidFill>
          <a:headEnd type="none"/>
          <a:tailEnd type="none"/>
        </a:ln>
      </xdr:spPr>
      <xdr:txBody>
        <a:bodyPr vertOverflow="clip" wrap="square" lIns="91440" tIns="45720" rIns="45720" bIns="45720"/>
        <a:p>
          <a:pPr algn="l">
            <a:defRPr/>
          </a:pPr>
          <a:r>
            <a:rPr lang="en-US" cap="none" sz="1000" b="1" i="0" u="sng"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390525</xdr:colOff>
      <xdr:row>5</xdr:row>
      <xdr:rowOff>104775</xdr:rowOff>
    </xdr:from>
    <xdr:ext cx="6343650" cy="2047875"/>
    <xdr:sp>
      <xdr:nvSpPr>
        <xdr:cNvPr id="1" name="TextBox 1"/>
        <xdr:cNvSpPr txBox="1">
          <a:spLocks noChangeArrowheads="1"/>
        </xdr:cNvSpPr>
      </xdr:nvSpPr>
      <xdr:spPr>
        <a:xfrm>
          <a:off x="4800600" y="1190625"/>
          <a:ext cx="6343650" cy="2047875"/>
        </a:xfrm>
        <a:prstGeom prst="rect">
          <a:avLst/>
        </a:prstGeom>
        <a:solidFill>
          <a:srgbClr val="FFFFFF"/>
        </a:solidFill>
        <a:ln w="9525" cmpd="sng">
          <a:solidFill>
            <a:srgbClr val="BCBCBC"/>
          </a:solidFill>
          <a:headEnd type="none"/>
          <a:tailEnd type="none"/>
        </a:ln>
      </xdr:spPr>
      <xdr:txBody>
        <a:bodyPr vertOverflow="clip" wrap="square" lIns="91440" tIns="45720" rIns="45720" bIns="45720"/>
        <a:p>
          <a:pPr algn="l">
            <a:defRPr/>
          </a:pPr>
          <a:r>
            <a:rPr lang="en-US" cap="none" sz="1000" b="1" i="0" u="sng"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371475</xdr:colOff>
      <xdr:row>5</xdr:row>
      <xdr:rowOff>114300</xdr:rowOff>
    </xdr:from>
    <xdr:ext cx="6362700" cy="1943100"/>
    <xdr:sp>
      <xdr:nvSpPr>
        <xdr:cNvPr id="1" name="TextBox 1"/>
        <xdr:cNvSpPr txBox="1">
          <a:spLocks noChangeArrowheads="1"/>
        </xdr:cNvSpPr>
      </xdr:nvSpPr>
      <xdr:spPr>
        <a:xfrm>
          <a:off x="4781550" y="1200150"/>
          <a:ext cx="6362700" cy="1943100"/>
        </a:xfrm>
        <a:prstGeom prst="rect">
          <a:avLst/>
        </a:prstGeom>
        <a:solidFill>
          <a:srgbClr val="FFFFFF"/>
        </a:solidFill>
        <a:ln w="9525" cmpd="sng">
          <a:solidFill>
            <a:srgbClr val="BCBCBC"/>
          </a:solidFill>
          <a:headEnd type="none"/>
          <a:tailEnd type="none"/>
        </a:ln>
      </xdr:spPr>
      <xdr:txBody>
        <a:bodyPr vertOverflow="clip" wrap="square" lIns="91440" tIns="45720" rIns="45720" bIns="45720"/>
        <a:p>
          <a:pPr algn="l">
            <a:defRPr/>
          </a:pPr>
          <a:r>
            <a:rPr lang="en-US" cap="none" sz="1000" b="1" i="0" u="sng"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Notice of Disclaimer: The Colorado Department of Transportation (CDOT) makes these documents available on an "as is" basis. All warranties and representations of any kind with regard to said documents are disclaimed, including the implied warranties of merchantability and fitness for a particular use. Under no circumstances will the CDOT, or any of its officers or employees be liable for any consequential, incidental, special or exemplary damages even if apprised of the likelihood of such damages occurring. The CDOT does not warrant the documents against deficiencies of any kind. The use of any of these documents for work which is under contract with the CDOT, does not relieve the contractor from any obligations assumed by the contract, or from complete and proper fulfillment of the terms of the contract, nor does it entitle the contractor to compensation for damages or loss which could be attributed to such use.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J30"/>
  <sheetViews>
    <sheetView zoomScalePageLayoutView="0" workbookViewId="0" topLeftCell="A1">
      <selection activeCell="A3" sqref="A3:A7"/>
    </sheetView>
  </sheetViews>
  <sheetFormatPr defaultColWidth="9.140625" defaultRowHeight="12.75"/>
  <cols>
    <col min="1" max="1" width="12.140625" style="0" customWidth="1"/>
    <col min="6" max="6" width="15.8515625" style="0" customWidth="1"/>
    <col min="10" max="10" width="9.140625" style="1" customWidth="1"/>
  </cols>
  <sheetData>
    <row r="1" ht="12.75">
      <c r="J1" s="1" t="s">
        <v>1</v>
      </c>
    </row>
    <row r="2" spans="1:10" ht="12.75">
      <c r="A2" t="s">
        <v>39</v>
      </c>
      <c r="G2" s="2" t="s">
        <v>59</v>
      </c>
      <c r="J2" s="1" t="s">
        <v>47</v>
      </c>
    </row>
    <row r="3" spans="1:10" ht="12.75">
      <c r="A3" s="2" t="s">
        <v>60</v>
      </c>
      <c r="G3" s="1" t="s">
        <v>13</v>
      </c>
      <c r="J3" s="1" t="s">
        <v>48</v>
      </c>
    </row>
    <row r="4" spans="1:10" ht="12.75">
      <c r="A4" s="2" t="s">
        <v>61</v>
      </c>
      <c r="G4" s="1" t="s">
        <v>14</v>
      </c>
      <c r="J4" s="1" t="s">
        <v>7</v>
      </c>
    </row>
    <row r="5" spans="1:10" ht="12.75">
      <c r="A5" t="s">
        <v>41</v>
      </c>
      <c r="G5" s="1" t="s">
        <v>15</v>
      </c>
      <c r="J5" s="1" t="s">
        <v>45</v>
      </c>
    </row>
    <row r="6" spans="1:10" ht="12.75">
      <c r="A6" t="s">
        <v>40</v>
      </c>
      <c r="G6" s="1" t="s">
        <v>16</v>
      </c>
      <c r="J6" s="1" t="s">
        <v>9</v>
      </c>
    </row>
    <row r="7" spans="1:10" ht="12.75">
      <c r="A7" s="2" t="s">
        <v>62</v>
      </c>
      <c r="G7" s="1" t="s">
        <v>17</v>
      </c>
      <c r="J7" s="1" t="s">
        <v>51</v>
      </c>
    </row>
    <row r="8" spans="7:10" ht="12.75">
      <c r="G8" s="1" t="s">
        <v>18</v>
      </c>
      <c r="J8" s="1" t="s">
        <v>42</v>
      </c>
    </row>
    <row r="9" spans="7:10" ht="12.75">
      <c r="G9" s="1" t="s">
        <v>19</v>
      </c>
      <c r="J9" s="1" t="s">
        <v>58</v>
      </c>
    </row>
    <row r="10" spans="7:10" ht="12.75">
      <c r="G10" s="1" t="s">
        <v>20</v>
      </c>
      <c r="J10" s="1" t="s">
        <v>5</v>
      </c>
    </row>
    <row r="11" spans="7:10" ht="12.75">
      <c r="G11" s="1" t="s">
        <v>21</v>
      </c>
      <c r="J11" s="1" t="s">
        <v>46</v>
      </c>
    </row>
    <row r="12" spans="7:10" ht="12.75">
      <c r="G12" s="1" t="s">
        <v>22</v>
      </c>
      <c r="J12" s="1" t="s">
        <v>44</v>
      </c>
    </row>
    <row r="13" spans="7:10" ht="12.75">
      <c r="G13" s="1" t="s">
        <v>23</v>
      </c>
      <c r="J13" s="1" t="s">
        <v>6</v>
      </c>
    </row>
    <row r="14" spans="7:10" ht="12.75">
      <c r="G14" s="1" t="s">
        <v>24</v>
      </c>
      <c r="J14" s="1" t="s">
        <v>43</v>
      </c>
    </row>
    <row r="15" spans="7:10" ht="12.75">
      <c r="G15" s="1" t="s">
        <v>25</v>
      </c>
      <c r="J15" s="1" t="s">
        <v>53</v>
      </c>
    </row>
    <row r="16" spans="7:10" ht="12.75">
      <c r="G16" s="1" t="s">
        <v>26</v>
      </c>
      <c r="J16" s="1" t="s">
        <v>0</v>
      </c>
    </row>
    <row r="17" spans="7:10" ht="12.75">
      <c r="G17" s="1" t="s">
        <v>27</v>
      </c>
      <c r="J17" s="1" t="s">
        <v>4</v>
      </c>
    </row>
    <row r="18" spans="7:10" ht="12.75">
      <c r="G18" s="1" t="s">
        <v>28</v>
      </c>
      <c r="J18" s="1" t="s">
        <v>2</v>
      </c>
    </row>
    <row r="19" spans="7:10" ht="12.75">
      <c r="G19" s="1" t="s">
        <v>29</v>
      </c>
      <c r="J19" s="1" t="s">
        <v>11</v>
      </c>
    </row>
    <row r="20" spans="7:10" ht="12.75">
      <c r="G20" s="1" t="s">
        <v>30</v>
      </c>
      <c r="J20" s="1" t="s">
        <v>54</v>
      </c>
    </row>
    <row r="21" spans="7:10" ht="12.75">
      <c r="G21" s="1" t="s">
        <v>31</v>
      </c>
      <c r="J21" s="1" t="s">
        <v>8</v>
      </c>
    </row>
    <row r="22" spans="7:10" ht="12.75">
      <c r="G22" s="1" t="s">
        <v>32</v>
      </c>
      <c r="J22" s="1" t="s">
        <v>50</v>
      </c>
    </row>
    <row r="23" spans="7:10" ht="12.75">
      <c r="G23" s="1" t="s">
        <v>33</v>
      </c>
      <c r="J23" s="1" t="s">
        <v>52</v>
      </c>
    </row>
    <row r="24" spans="7:10" ht="12.75">
      <c r="G24" s="1" t="s">
        <v>34</v>
      </c>
      <c r="J24" s="1" t="s">
        <v>49</v>
      </c>
    </row>
    <row r="25" spans="7:10" ht="12.75">
      <c r="G25" s="1" t="s">
        <v>35</v>
      </c>
      <c r="J25" s="1" t="s">
        <v>32</v>
      </c>
    </row>
    <row r="26" spans="7:10" ht="12.75">
      <c r="G26" s="1" t="s">
        <v>36</v>
      </c>
      <c r="J26" s="1" t="s">
        <v>10</v>
      </c>
    </row>
    <row r="27" spans="7:10" ht="12.75">
      <c r="G27" s="1" t="s">
        <v>37</v>
      </c>
      <c r="J27" s="1" t="s">
        <v>3</v>
      </c>
    </row>
    <row r="28" spans="7:10" ht="12.75">
      <c r="G28" s="1" t="s">
        <v>38</v>
      </c>
      <c r="J28" s="1" t="s">
        <v>55</v>
      </c>
    </row>
    <row r="29" ht="12.75">
      <c r="J29" s="1" t="s">
        <v>56</v>
      </c>
    </row>
    <row r="30" ht="12.75">
      <c r="J30" s="1" t="s">
        <v>57</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P108"/>
  <sheetViews>
    <sheetView tabSelected="1" zoomScalePageLayoutView="0" workbookViewId="0" topLeftCell="A1">
      <selection activeCell="P26" sqref="P26"/>
    </sheetView>
  </sheetViews>
  <sheetFormatPr defaultColWidth="10.28125" defaultRowHeight="12.75"/>
  <cols>
    <col min="1" max="1" width="43.8515625" style="6" bestFit="1" customWidth="1"/>
    <col min="2" max="2" width="2.421875" style="6" customWidth="1"/>
    <col min="3" max="3" width="4.7109375" style="6" bestFit="1" customWidth="1"/>
    <col min="4" max="4" width="6.57421875" style="6" bestFit="1" customWidth="1"/>
    <col min="5" max="5" width="8.57421875" style="6" bestFit="1" customWidth="1"/>
    <col min="6" max="6" width="8.7109375" style="6" bestFit="1" customWidth="1"/>
    <col min="7" max="7" width="10.140625" style="6" customWidth="1"/>
    <col min="8" max="8" width="12.8515625" style="6" bestFit="1" customWidth="1"/>
    <col min="9" max="9" width="10.28125" style="6" bestFit="1" customWidth="1"/>
    <col min="10" max="10" width="9.28125" style="6" bestFit="1" customWidth="1"/>
    <col min="11" max="11" width="8.7109375" style="6" bestFit="1" customWidth="1"/>
    <col min="12" max="12" width="7.00390625" style="6" bestFit="1" customWidth="1"/>
    <col min="13" max="13" width="8.57421875" style="6" bestFit="1" customWidth="1"/>
    <col min="14" max="14" width="6.8515625" style="6" bestFit="1" customWidth="1"/>
    <col min="15" max="16" width="10.140625" style="6" customWidth="1"/>
    <col min="17" max="16384" width="10.28125" style="6" customWidth="1"/>
  </cols>
  <sheetData>
    <row r="1" spans="1:9" ht="15.75">
      <c r="A1" s="38" t="s">
        <v>63</v>
      </c>
      <c r="B1" s="72" t="s">
        <v>307</v>
      </c>
      <c r="C1" s="73"/>
      <c r="D1" s="73"/>
      <c r="E1" s="73"/>
      <c r="F1" s="5"/>
      <c r="G1" s="67" t="s">
        <v>105</v>
      </c>
      <c r="H1" s="67"/>
      <c r="I1" s="67"/>
    </row>
    <row r="2" spans="1:9" ht="15">
      <c r="A2" s="38" t="s">
        <v>64</v>
      </c>
      <c r="B2" s="74" t="s">
        <v>308</v>
      </c>
      <c r="C2" s="73"/>
      <c r="D2" s="73"/>
      <c r="E2" s="73"/>
      <c r="F2" s="5"/>
      <c r="G2" s="28" t="s">
        <v>89</v>
      </c>
      <c r="H2" s="29" t="s">
        <v>93</v>
      </c>
      <c r="I2" s="30" t="s">
        <v>96</v>
      </c>
    </row>
    <row r="3" spans="1:9" ht="20.25" thickBot="1">
      <c r="A3" s="38" t="s">
        <v>65</v>
      </c>
      <c r="B3" s="72" t="s">
        <v>307</v>
      </c>
      <c r="C3" s="72"/>
      <c r="D3" s="72"/>
      <c r="E3" s="72"/>
      <c r="F3" s="5"/>
      <c r="G3" s="31" t="s">
        <v>90</v>
      </c>
      <c r="H3" s="27" t="s">
        <v>94</v>
      </c>
      <c r="I3" s="32" t="s">
        <v>97</v>
      </c>
    </row>
    <row r="4" spans="1:9" ht="18.75" thickBot="1" thickTop="1">
      <c r="A4" s="38" t="s">
        <v>66</v>
      </c>
      <c r="B4" s="75" t="s">
        <v>309</v>
      </c>
      <c r="C4" s="75"/>
      <c r="D4" s="75"/>
      <c r="E4" s="75"/>
      <c r="F4" s="5"/>
      <c r="G4" s="33" t="s">
        <v>91</v>
      </c>
      <c r="H4" s="34" t="s">
        <v>95</v>
      </c>
      <c r="I4" s="35" t="s">
        <v>98</v>
      </c>
    </row>
    <row r="5" spans="1:9" ht="15.75" thickTop="1">
      <c r="A5" s="38" t="s">
        <v>67</v>
      </c>
      <c r="B5" s="72" t="s">
        <v>310</v>
      </c>
      <c r="C5" s="72"/>
      <c r="D5" s="72"/>
      <c r="E5" s="72"/>
      <c r="F5" s="5"/>
      <c r="G5" s="36" t="s">
        <v>92</v>
      </c>
      <c r="H5" s="37" t="s">
        <v>73</v>
      </c>
      <c r="I5" s="64" t="s">
        <v>111</v>
      </c>
    </row>
    <row r="6" spans="1:6" ht="12.75">
      <c r="A6" s="26"/>
      <c r="B6" s="26"/>
      <c r="C6" s="26"/>
      <c r="D6" s="26"/>
      <c r="E6" s="8"/>
      <c r="F6" s="10"/>
    </row>
    <row r="7" spans="5:6" s="26" customFormat="1" ht="12.75">
      <c r="E7" s="8"/>
      <c r="F7" s="10"/>
    </row>
    <row r="8" spans="1:6" ht="12.75">
      <c r="A8" s="7"/>
      <c r="B8" s="5"/>
      <c r="C8" s="8"/>
      <c r="D8" s="10"/>
      <c r="E8" s="8"/>
      <c r="F8" s="10"/>
    </row>
    <row r="9" spans="1:14" ht="12.75" hidden="1">
      <c r="A9" s="9"/>
      <c r="B9" s="5"/>
      <c r="C9" s="50" t="s">
        <v>110</v>
      </c>
      <c r="D9" s="47">
        <v>3</v>
      </c>
      <c r="E9" s="47">
        <v>4</v>
      </c>
      <c r="F9" s="47">
        <v>5</v>
      </c>
      <c r="G9" s="47">
        <v>6</v>
      </c>
      <c r="H9" s="47">
        <v>7</v>
      </c>
      <c r="I9" s="47">
        <v>8</v>
      </c>
      <c r="J9" s="47">
        <v>9</v>
      </c>
      <c r="K9" s="47">
        <v>10</v>
      </c>
      <c r="L9" s="47">
        <v>11</v>
      </c>
      <c r="M9" s="5"/>
      <c r="N9" s="10"/>
    </row>
    <row r="10" spans="1:14" ht="12.75" hidden="1">
      <c r="A10" s="3"/>
      <c r="B10" s="5"/>
      <c r="C10" s="50" t="s">
        <v>109</v>
      </c>
      <c r="D10" s="48">
        <v>0.376</v>
      </c>
      <c r="E10" s="48">
        <v>0.668</v>
      </c>
      <c r="F10" s="48">
        <v>1.043</v>
      </c>
      <c r="G10" s="48">
        <v>1.502</v>
      </c>
      <c r="H10" s="48">
        <v>2.044</v>
      </c>
      <c r="I10" s="48">
        <v>2.67</v>
      </c>
      <c r="J10" s="48">
        <v>3.4</v>
      </c>
      <c r="K10" s="48">
        <v>4.303</v>
      </c>
      <c r="L10" s="48">
        <v>5.313</v>
      </c>
      <c r="M10" s="5"/>
      <c r="N10" s="5"/>
    </row>
    <row r="11" spans="1:6" ht="15">
      <c r="A11" s="39" t="s">
        <v>68</v>
      </c>
      <c r="B11" s="5"/>
      <c r="C11" s="4"/>
      <c r="D11" s="5"/>
      <c r="E11" s="4"/>
      <c r="F11" s="10"/>
    </row>
    <row r="12" spans="1:6" ht="15">
      <c r="A12" s="39" t="s">
        <v>103</v>
      </c>
      <c r="B12" s="11"/>
      <c r="C12" s="4"/>
      <c r="D12" s="5"/>
      <c r="E12" s="5"/>
      <c r="F12" s="5"/>
    </row>
    <row r="13" spans="1:6" s="26" customFormat="1" ht="15">
      <c r="A13" s="39" t="s">
        <v>288</v>
      </c>
      <c r="B13" s="11"/>
      <c r="C13" s="8"/>
      <c r="D13" s="16"/>
      <c r="E13" s="16"/>
      <c r="F13" s="16"/>
    </row>
    <row r="14" spans="1:8" ht="15">
      <c r="A14" s="39" t="s">
        <v>135</v>
      </c>
      <c r="B14" s="11"/>
      <c r="C14" s="4"/>
      <c r="D14" s="5"/>
      <c r="E14" s="24"/>
      <c r="F14" s="24"/>
      <c r="G14" s="24"/>
      <c r="H14" s="24"/>
    </row>
    <row r="15" spans="1:8" s="26" customFormat="1" ht="15">
      <c r="A15" s="39" t="s">
        <v>136</v>
      </c>
      <c r="B15" s="11"/>
      <c r="C15" s="8"/>
      <c r="D15" s="16"/>
      <c r="E15" s="24"/>
      <c r="F15" s="24"/>
      <c r="G15" s="24"/>
      <c r="H15" s="24"/>
    </row>
    <row r="16" spans="3:14" s="5" customFormat="1" ht="12.75">
      <c r="C16" s="4"/>
      <c r="G16" s="6"/>
      <c r="H16" s="6"/>
      <c r="I16" s="6"/>
      <c r="J16" s="6"/>
      <c r="K16" s="6"/>
      <c r="L16" s="6"/>
      <c r="M16" s="6"/>
      <c r="N16" s="6"/>
    </row>
    <row r="17" spans="1:14" s="5" customFormat="1" ht="18" thickBot="1">
      <c r="A17" s="68" t="s">
        <v>69</v>
      </c>
      <c r="B17" s="68"/>
      <c r="C17" s="68"/>
      <c r="D17" s="68"/>
      <c r="G17" s="6"/>
      <c r="H17" s="6"/>
      <c r="I17" s="6"/>
      <c r="J17" s="6"/>
      <c r="K17" s="6"/>
      <c r="L17" s="6"/>
      <c r="M17" s="6"/>
      <c r="N17" s="6"/>
    </row>
    <row r="18" spans="3:14" s="5" customFormat="1" ht="13.5" thickTop="1">
      <c r="C18" s="4"/>
      <c r="G18" s="6"/>
      <c r="H18" s="6"/>
      <c r="I18" s="6"/>
      <c r="J18" s="6"/>
      <c r="K18" s="6"/>
      <c r="L18" s="6"/>
      <c r="M18" s="6"/>
      <c r="N18" s="6"/>
    </row>
    <row r="19" spans="1:13" s="5" customFormat="1" ht="12.75">
      <c r="A19" s="22"/>
      <c r="B19" s="45" t="s">
        <v>17</v>
      </c>
      <c r="C19" s="22"/>
      <c r="D19" s="22"/>
      <c r="E19" s="22"/>
      <c r="F19" s="22"/>
      <c r="G19" s="22"/>
      <c r="H19" s="45" t="s">
        <v>107</v>
      </c>
      <c r="I19" s="22" t="s">
        <v>70</v>
      </c>
      <c r="J19" s="45" t="s">
        <v>107</v>
      </c>
      <c r="K19" s="22" t="s">
        <v>70</v>
      </c>
      <c r="L19" s="22"/>
      <c r="M19" s="22"/>
    </row>
    <row r="20" spans="1:13" s="5" customFormat="1" ht="12.75">
      <c r="A20" s="22"/>
      <c r="B20" s="22" t="s">
        <v>100</v>
      </c>
      <c r="C20" s="22" t="s">
        <v>71</v>
      </c>
      <c r="D20" s="22" t="s">
        <v>72</v>
      </c>
      <c r="E20" s="22" t="s">
        <v>71</v>
      </c>
      <c r="F20" s="22" t="s">
        <v>71</v>
      </c>
      <c r="G20" s="22" t="s">
        <v>71</v>
      </c>
      <c r="H20" s="22" t="s">
        <v>73</v>
      </c>
      <c r="I20" s="22" t="s">
        <v>73</v>
      </c>
      <c r="J20" s="22" t="s">
        <v>73</v>
      </c>
      <c r="K20" s="22" t="s">
        <v>73</v>
      </c>
      <c r="L20" s="22"/>
      <c r="M20" s="45" t="s">
        <v>71</v>
      </c>
    </row>
    <row r="21" spans="1:13" s="5" customFormat="1" ht="12.75">
      <c r="A21" s="46" t="s">
        <v>12</v>
      </c>
      <c r="B21" s="46" t="s">
        <v>26</v>
      </c>
      <c r="C21" s="46" t="s">
        <v>74</v>
      </c>
      <c r="D21" s="46" t="s">
        <v>75</v>
      </c>
      <c r="E21" s="46" t="s">
        <v>76</v>
      </c>
      <c r="F21" s="46" t="s">
        <v>77</v>
      </c>
      <c r="G21" s="46" t="s">
        <v>78</v>
      </c>
      <c r="H21" s="46" t="s">
        <v>77</v>
      </c>
      <c r="I21" s="46" t="s">
        <v>77</v>
      </c>
      <c r="J21" s="46" t="s">
        <v>79</v>
      </c>
      <c r="K21" s="46" t="s">
        <v>79</v>
      </c>
      <c r="L21" s="46" t="s">
        <v>79</v>
      </c>
      <c r="M21" s="46" t="s">
        <v>77</v>
      </c>
    </row>
    <row r="22" spans="1:13" s="5" customFormat="1" ht="18" thickBot="1">
      <c r="A22" s="25" t="s">
        <v>99</v>
      </c>
      <c r="C22" s="15"/>
      <c r="D22" s="15"/>
      <c r="F22" s="14"/>
      <c r="G22" s="15"/>
      <c r="H22" s="16"/>
      <c r="I22" s="17"/>
      <c r="J22" s="18"/>
      <c r="K22" s="18"/>
      <c r="L22" s="19"/>
      <c r="M22" s="20"/>
    </row>
    <row r="23" spans="1:13" s="5" customFormat="1" ht="15.75" thickTop="1">
      <c r="A23" s="40" t="s">
        <v>264</v>
      </c>
      <c r="B23" s="49" t="s">
        <v>17</v>
      </c>
      <c r="C23" s="44">
        <v>5</v>
      </c>
      <c r="D23" s="44">
        <v>2576</v>
      </c>
      <c r="E23" s="44" t="s">
        <v>112</v>
      </c>
      <c r="F23" s="44" t="s">
        <v>265</v>
      </c>
      <c r="G23" s="44" t="s">
        <v>117</v>
      </c>
      <c r="H23" s="23">
        <f>IF($B23="E",$D23*$M23,0)</f>
        <v>137172</v>
      </c>
      <c r="I23" s="41">
        <f>IF($B23="E",0,$D23*$M23)</f>
        <v>0</v>
      </c>
      <c r="J23" s="42">
        <f>$H23*$L23</f>
        <v>143070.39599999998</v>
      </c>
      <c r="K23" s="63">
        <f>$I23*$L23</f>
        <v>0</v>
      </c>
      <c r="L23" s="43">
        <f>IF($B23="E",LOOKUP(C23,$D$9:$L$9,$D$10:$L$10),LOOKUP(C23,$D$9:$L$9,$D$10:$L$10))</f>
        <v>1.043</v>
      </c>
      <c r="M23" s="43">
        <f>(LEFT(F23,(FIND("'",F23)-1)))+((MID(F23,FIND("-",F23)+1,((FIND("""",F23)-(FIND("-",F23))-1))))/12)</f>
        <v>53.25</v>
      </c>
    </row>
    <row r="24" spans="1:13" s="16" customFormat="1" ht="15">
      <c r="A24" s="40" t="s">
        <v>266</v>
      </c>
      <c r="B24" s="49" t="s">
        <v>17</v>
      </c>
      <c r="C24" s="44">
        <v>5</v>
      </c>
      <c r="D24" s="44">
        <v>2576</v>
      </c>
      <c r="E24" s="44" t="s">
        <v>112</v>
      </c>
      <c r="F24" s="44" t="s">
        <v>268</v>
      </c>
      <c r="G24" s="44" t="s">
        <v>117</v>
      </c>
      <c r="H24" s="23">
        <f>IF($B24="E",$D24*$M24,0)</f>
        <v>106689.33333333333</v>
      </c>
      <c r="I24" s="41">
        <f>IF($B24="E",0,$D24*$M24)</f>
        <v>0</v>
      </c>
      <c r="J24" s="42">
        <f>$H24*$L24</f>
        <v>111276.97466666665</v>
      </c>
      <c r="K24" s="63">
        <f>$I24*$L24</f>
        <v>0</v>
      </c>
      <c r="L24" s="43">
        <f>IF($B24="E",LOOKUP(C24,$D$9:$L$9,$D$10:$L$10),LOOKUP(C24,$D$9:$L$9,$D$10:$L$10))</f>
        <v>1.043</v>
      </c>
      <c r="M24" s="43">
        <f>(LEFT(F24,(FIND("'",F24)-1)))+((MID(F24,FIND("-",F24)+1,((FIND("""",F24)-(FIND("-",F24))-1))))/12)</f>
        <v>41.416666666666664</v>
      </c>
    </row>
    <row r="25" spans="1:13" s="16" customFormat="1" ht="15">
      <c r="A25" s="40" t="s">
        <v>267</v>
      </c>
      <c r="B25" s="49" t="s">
        <v>17</v>
      </c>
      <c r="C25" s="44">
        <v>5</v>
      </c>
      <c r="D25" s="44">
        <v>2576</v>
      </c>
      <c r="E25" s="44" t="s">
        <v>112</v>
      </c>
      <c r="F25" s="44" t="s">
        <v>269</v>
      </c>
      <c r="G25" s="44" t="s">
        <v>117</v>
      </c>
      <c r="H25" s="23">
        <f>IF($B25="E",$D25*$M25,0)</f>
        <v>97888</v>
      </c>
      <c r="I25" s="41">
        <f>IF($B25="E",0,$D25*$M25)</f>
        <v>0</v>
      </c>
      <c r="J25" s="42">
        <f>$H25*$L25</f>
        <v>102097.184</v>
      </c>
      <c r="K25" s="63">
        <f>$I25*$L25</f>
        <v>0</v>
      </c>
      <c r="L25" s="43">
        <f>IF($B25="E",LOOKUP(C25,$D$9:$L$9,$D$10:$L$10),LOOKUP(C25,$D$9:$L$9,$D$10:$L$10))</f>
        <v>1.043</v>
      </c>
      <c r="M25" s="43">
        <f>(LEFT(F25,(FIND("'",F25)-1)))+((MID(F25,FIND("-",F25)+1,((FIND("""",F25)-(FIND("-",F25))-1))))/12)</f>
        <v>38</v>
      </c>
    </row>
    <row r="26" spans="1:13" s="16" customFormat="1" ht="15">
      <c r="A26" s="40" t="s">
        <v>270</v>
      </c>
      <c r="B26" s="49" t="s">
        <v>17</v>
      </c>
      <c r="C26" s="44">
        <v>4</v>
      </c>
      <c r="D26" s="44">
        <v>257</v>
      </c>
      <c r="E26" s="44" t="s">
        <v>115</v>
      </c>
      <c r="F26" s="44" t="s">
        <v>271</v>
      </c>
      <c r="G26" s="44" t="s">
        <v>117</v>
      </c>
      <c r="H26" s="23">
        <f aca="true" t="shared" si="0" ref="H26:H62">IF($B26="E",$D26*$M26,0)</f>
        <v>28858.958333333336</v>
      </c>
      <c r="I26" s="41">
        <f aca="true" t="shared" si="1" ref="I26:I62">IF($B26="E",0,$D26*$M26)</f>
        <v>0</v>
      </c>
      <c r="J26" s="42">
        <f aca="true" t="shared" si="2" ref="J26:J62">$H26*$L26</f>
        <v>19277.784166666668</v>
      </c>
      <c r="K26" s="63">
        <f aca="true" t="shared" si="3" ref="K26:K62">$I26*$L26</f>
        <v>0</v>
      </c>
      <c r="L26" s="43">
        <f>IF($B26="E",LOOKUP(C26,$D$9:$L$9,$D$10:$L$10),LOOKUP(C26,$D$9:$L$9,$D$10:$L$10))</f>
        <v>0.668</v>
      </c>
      <c r="M26" s="43">
        <f>(LEFT(F26,(FIND("'",F26)-1)))+((MID(F26,FIND("-",F26)+1,((FIND("""",F26)-(FIND("-",F26))-1))))/12)</f>
        <v>112.29166666666667</v>
      </c>
    </row>
    <row r="27" spans="1:13" s="16" customFormat="1" ht="15">
      <c r="A27" s="40" t="s">
        <v>272</v>
      </c>
      <c r="B27" s="49" t="s">
        <v>17</v>
      </c>
      <c r="C27" s="44">
        <v>4</v>
      </c>
      <c r="D27" s="44">
        <f>D26*2</f>
        <v>514</v>
      </c>
      <c r="E27" s="44" t="s">
        <v>115</v>
      </c>
      <c r="F27" s="44" t="s">
        <v>273</v>
      </c>
      <c r="G27" s="44" t="s">
        <v>117</v>
      </c>
      <c r="H27" s="23">
        <f t="shared" si="0"/>
        <v>685.3333333333333</v>
      </c>
      <c r="I27" s="41">
        <f t="shared" si="1"/>
        <v>0</v>
      </c>
      <c r="J27" s="42">
        <f t="shared" si="2"/>
        <v>457.80266666666665</v>
      </c>
      <c r="K27" s="63">
        <f t="shared" si="3"/>
        <v>0</v>
      </c>
      <c r="L27" s="43">
        <f>IF($B27="E",LOOKUP(C27,$D$9:$L$9,$D$10:$L$10),LOOKUP(C27,$D$9:$L$9,$D$10:$L$10))</f>
        <v>0.668</v>
      </c>
      <c r="M27" s="43">
        <f>(LEFT(F27,(FIND("'",F27)-1)))+((MID(F27,FIND("-",F27)+1,((FIND("""",F27)-(FIND("-",F27))-1))))/12)</f>
        <v>1.3333333333333333</v>
      </c>
    </row>
    <row r="28" spans="1:13" s="16" customFormat="1" ht="15">
      <c r="A28" s="40" t="s">
        <v>122</v>
      </c>
      <c r="B28" s="49" t="s">
        <v>17</v>
      </c>
      <c r="C28" s="44">
        <v>4</v>
      </c>
      <c r="D28" s="44">
        <v>257</v>
      </c>
      <c r="E28" s="44" t="s">
        <v>115</v>
      </c>
      <c r="F28" s="44" t="s">
        <v>274</v>
      </c>
      <c r="G28" s="44" t="s">
        <v>117</v>
      </c>
      <c r="H28" s="23">
        <f t="shared" si="0"/>
        <v>21673.666666666664</v>
      </c>
      <c r="I28" s="41">
        <f t="shared" si="1"/>
        <v>0</v>
      </c>
      <c r="J28" s="42">
        <f t="shared" si="2"/>
        <v>14478.009333333333</v>
      </c>
      <c r="K28" s="63">
        <f t="shared" si="3"/>
        <v>0</v>
      </c>
      <c r="L28" s="43">
        <f aca="true" t="shared" si="4" ref="L28:L38">IF($B28="E",LOOKUP(C28,$D$9:$L$9,$D$10:$L$10),LOOKUP(C28,$D$9:$L$9,$D$10:$L$10))</f>
        <v>0.668</v>
      </c>
      <c r="M28" s="43">
        <f aca="true" t="shared" si="5" ref="M28:M38">(LEFT(F28,(FIND("'",F28)-1)))+((MID(F28,FIND("-",F28)+1,((FIND("""",F28)-(FIND("-",F28))-1))))/12)</f>
        <v>84.33333333333333</v>
      </c>
    </row>
    <row r="29" spans="1:13" s="16" customFormat="1" ht="15">
      <c r="A29" s="40" t="s">
        <v>275</v>
      </c>
      <c r="B29" s="49" t="s">
        <v>17</v>
      </c>
      <c r="C29" s="44">
        <v>4</v>
      </c>
      <c r="D29" s="44">
        <f>D28*2</f>
        <v>514</v>
      </c>
      <c r="E29" s="44" t="s">
        <v>115</v>
      </c>
      <c r="F29" s="44" t="s">
        <v>273</v>
      </c>
      <c r="G29" s="44" t="s">
        <v>117</v>
      </c>
      <c r="H29" s="23">
        <f t="shared" si="0"/>
        <v>685.3333333333333</v>
      </c>
      <c r="I29" s="41">
        <f t="shared" si="1"/>
        <v>0</v>
      </c>
      <c r="J29" s="42">
        <f t="shared" si="2"/>
        <v>457.80266666666665</v>
      </c>
      <c r="K29" s="63">
        <f t="shared" si="3"/>
        <v>0</v>
      </c>
      <c r="L29" s="43">
        <f t="shared" si="4"/>
        <v>0.668</v>
      </c>
      <c r="M29" s="43">
        <f t="shared" si="5"/>
        <v>1.3333333333333333</v>
      </c>
    </row>
    <row r="30" spans="1:13" s="16" customFormat="1" ht="15">
      <c r="A30" s="40" t="s">
        <v>123</v>
      </c>
      <c r="B30" s="49" t="s">
        <v>17</v>
      </c>
      <c r="C30" s="44">
        <v>4</v>
      </c>
      <c r="D30" s="44">
        <v>257</v>
      </c>
      <c r="E30" s="44" t="s">
        <v>115</v>
      </c>
      <c r="F30" s="44" t="s">
        <v>274</v>
      </c>
      <c r="G30" s="44" t="s">
        <v>117</v>
      </c>
      <c r="H30" s="23">
        <f t="shared" si="0"/>
        <v>21673.666666666664</v>
      </c>
      <c r="I30" s="41">
        <f t="shared" si="1"/>
        <v>0</v>
      </c>
      <c r="J30" s="42">
        <f t="shared" si="2"/>
        <v>14478.009333333333</v>
      </c>
      <c r="K30" s="63">
        <f t="shared" si="3"/>
        <v>0</v>
      </c>
      <c r="L30" s="43">
        <f>IF($B30="E",LOOKUP(C30,$D$9:$L$9,$D$10:$L$10),LOOKUP(C30,$D$9:$L$9,$D$10:$L$10))</f>
        <v>0.668</v>
      </c>
      <c r="M30" s="43">
        <f>(LEFT(F30,(FIND("'",F30)-1)))+((MID(F30,FIND("-",F30)+1,((FIND("""",F30)-(FIND("-",F30))-1))))/12)</f>
        <v>84.33333333333333</v>
      </c>
    </row>
    <row r="31" spans="1:13" s="16" customFormat="1" ht="15">
      <c r="A31" s="40" t="s">
        <v>276</v>
      </c>
      <c r="B31" s="49" t="s">
        <v>17</v>
      </c>
      <c r="C31" s="44">
        <v>4</v>
      </c>
      <c r="D31" s="44">
        <f>D30*2</f>
        <v>514</v>
      </c>
      <c r="E31" s="44" t="s">
        <v>115</v>
      </c>
      <c r="F31" s="44" t="s">
        <v>273</v>
      </c>
      <c r="G31" s="44" t="s">
        <v>117</v>
      </c>
      <c r="H31" s="23">
        <f t="shared" si="0"/>
        <v>685.3333333333333</v>
      </c>
      <c r="I31" s="41">
        <f t="shared" si="1"/>
        <v>0</v>
      </c>
      <c r="J31" s="42">
        <f t="shared" si="2"/>
        <v>457.80266666666665</v>
      </c>
      <c r="K31" s="63">
        <f t="shared" si="3"/>
        <v>0</v>
      </c>
      <c r="L31" s="43">
        <f>IF($B31="E",LOOKUP(C31,$D$9:$L$9,$D$10:$L$10),LOOKUP(C31,$D$9:$L$9,$D$10:$L$10))</f>
        <v>0.668</v>
      </c>
      <c r="M31" s="43">
        <f>(LEFT(F31,(FIND("'",F31)-1)))+((MID(F31,FIND("-",F31)+1,((FIND("""",F31)-(FIND("-",F31))-1))))/12)</f>
        <v>1.3333333333333333</v>
      </c>
    </row>
    <row r="32" spans="1:13" s="16" customFormat="1" ht="15">
      <c r="A32" s="40" t="s">
        <v>124</v>
      </c>
      <c r="B32" s="49" t="s">
        <v>17</v>
      </c>
      <c r="C32" s="44">
        <v>4</v>
      </c>
      <c r="D32" s="44">
        <v>257</v>
      </c>
      <c r="E32" s="44" t="s">
        <v>115</v>
      </c>
      <c r="F32" s="44" t="s">
        <v>277</v>
      </c>
      <c r="G32" s="44" t="s">
        <v>117</v>
      </c>
      <c r="H32" s="23">
        <f t="shared" si="0"/>
        <v>17818.666666666664</v>
      </c>
      <c r="I32" s="41">
        <f t="shared" si="1"/>
        <v>0</v>
      </c>
      <c r="J32" s="42">
        <f t="shared" si="2"/>
        <v>11902.869333333332</v>
      </c>
      <c r="K32" s="63">
        <f t="shared" si="3"/>
        <v>0</v>
      </c>
      <c r="L32" s="43">
        <f>IF($B32="E",LOOKUP(C32,$D$9:$L$9,$D$10:$L$10),LOOKUP(C32,$D$9:$L$9,$D$10:$L$10))</f>
        <v>0.668</v>
      </c>
      <c r="M32" s="43">
        <f>(LEFT(F32,(FIND("'",F32)-1)))+((MID(F32,FIND("-",F32)+1,((FIND("""",F32)-(FIND("-",F32))-1))))/12)</f>
        <v>69.33333333333333</v>
      </c>
    </row>
    <row r="33" spans="1:13" s="16" customFormat="1" ht="15">
      <c r="A33" s="40" t="s">
        <v>278</v>
      </c>
      <c r="B33" s="49" t="s">
        <v>17</v>
      </c>
      <c r="C33" s="44">
        <v>4</v>
      </c>
      <c r="D33" s="44">
        <f>D32</f>
        <v>257</v>
      </c>
      <c r="E33" s="44" t="s">
        <v>115</v>
      </c>
      <c r="F33" s="44" t="s">
        <v>273</v>
      </c>
      <c r="G33" s="44" t="s">
        <v>117</v>
      </c>
      <c r="H33" s="23">
        <f t="shared" si="0"/>
        <v>342.66666666666663</v>
      </c>
      <c r="I33" s="41">
        <f t="shared" si="1"/>
        <v>0</v>
      </c>
      <c r="J33" s="42">
        <f t="shared" si="2"/>
        <v>228.90133333333333</v>
      </c>
      <c r="K33" s="63">
        <f t="shared" si="3"/>
        <v>0</v>
      </c>
      <c r="L33" s="43">
        <f>IF($B33="E",LOOKUP(C33,$D$9:$L$9,$D$10:$L$10),LOOKUP(C33,$D$9:$L$9,$D$10:$L$10))</f>
        <v>0.668</v>
      </c>
      <c r="M33" s="43">
        <f>(LEFT(F33,(FIND("'",F33)-1)))+((MID(F33,FIND("-",F33)+1,((FIND("""",F33)-(FIND("-",F33))-1))))/12)</f>
        <v>1.3333333333333333</v>
      </c>
    </row>
    <row r="34" spans="1:13" s="16" customFormat="1" ht="15">
      <c r="A34" s="40" t="s">
        <v>125</v>
      </c>
      <c r="B34" s="49" t="s">
        <v>17</v>
      </c>
      <c r="C34" s="44">
        <v>4</v>
      </c>
      <c r="D34" s="44">
        <v>257</v>
      </c>
      <c r="E34" s="44" t="s">
        <v>115</v>
      </c>
      <c r="F34" s="44" t="s">
        <v>277</v>
      </c>
      <c r="G34" s="44" t="s">
        <v>117</v>
      </c>
      <c r="H34" s="23">
        <f t="shared" si="0"/>
        <v>17818.666666666664</v>
      </c>
      <c r="I34" s="41">
        <f t="shared" si="1"/>
        <v>0</v>
      </c>
      <c r="J34" s="42">
        <f t="shared" si="2"/>
        <v>11902.869333333332</v>
      </c>
      <c r="K34" s="63">
        <f t="shared" si="3"/>
        <v>0</v>
      </c>
      <c r="L34" s="43">
        <f>IF($B34="E",LOOKUP(C34,$D$9:$L$9,$D$10:$L$10),LOOKUP(C34,$D$9:$L$9,$D$10:$L$10))</f>
        <v>0.668</v>
      </c>
      <c r="M34" s="43">
        <f>(LEFT(F34,(FIND("'",F34)-1)))+((MID(F34,FIND("-",F34)+1,((FIND("""",F34)-(FIND("-",F34))-1))))/12)</f>
        <v>69.33333333333333</v>
      </c>
    </row>
    <row r="35" spans="1:13" s="16" customFormat="1" ht="15">
      <c r="A35" s="40" t="s">
        <v>279</v>
      </c>
      <c r="B35" s="49" t="s">
        <v>17</v>
      </c>
      <c r="C35" s="44">
        <v>4</v>
      </c>
      <c r="D35" s="44">
        <f>D34</f>
        <v>257</v>
      </c>
      <c r="E35" s="44" t="s">
        <v>115</v>
      </c>
      <c r="F35" s="44" t="s">
        <v>273</v>
      </c>
      <c r="G35" s="44" t="s">
        <v>117</v>
      </c>
      <c r="H35" s="23">
        <f t="shared" si="0"/>
        <v>342.66666666666663</v>
      </c>
      <c r="I35" s="41">
        <f t="shared" si="1"/>
        <v>0</v>
      </c>
      <c r="J35" s="42">
        <f t="shared" si="2"/>
        <v>228.90133333333333</v>
      </c>
      <c r="K35" s="63">
        <f t="shared" si="3"/>
        <v>0</v>
      </c>
      <c r="L35" s="43">
        <f>IF($B35="E",LOOKUP(C35,$D$9:$L$9,$D$10:$L$10),LOOKUP(C35,$D$9:$L$9,$D$10:$L$10))</f>
        <v>0.668</v>
      </c>
      <c r="M35" s="43">
        <f>(LEFT(F35,(FIND("'",F35)-1)))+((MID(F35,FIND("-",F35)+1,((FIND("""",F35)-(FIND("-",F35))-1))))/12)</f>
        <v>1.3333333333333333</v>
      </c>
    </row>
    <row r="36" spans="1:13" s="16" customFormat="1" ht="15">
      <c r="A36" s="40" t="s">
        <v>121</v>
      </c>
      <c r="B36" s="49" t="s">
        <v>17</v>
      </c>
      <c r="C36" s="44">
        <v>4</v>
      </c>
      <c r="D36" s="44">
        <v>257</v>
      </c>
      <c r="E36" s="44" t="s">
        <v>115</v>
      </c>
      <c r="F36" s="44" t="s">
        <v>280</v>
      </c>
      <c r="G36" s="44" t="s">
        <v>117</v>
      </c>
      <c r="H36" s="23">
        <f t="shared" si="0"/>
        <v>19863.958333333336</v>
      </c>
      <c r="I36" s="41">
        <f t="shared" si="1"/>
        <v>0</v>
      </c>
      <c r="J36" s="42">
        <f t="shared" si="2"/>
        <v>13269.124166666668</v>
      </c>
      <c r="K36" s="63">
        <f t="shared" si="3"/>
        <v>0</v>
      </c>
      <c r="L36" s="43">
        <f t="shared" si="4"/>
        <v>0.668</v>
      </c>
      <c r="M36" s="43">
        <f t="shared" si="5"/>
        <v>77.29166666666667</v>
      </c>
    </row>
    <row r="37" spans="1:13" s="16" customFormat="1" ht="15">
      <c r="A37" s="40" t="s">
        <v>281</v>
      </c>
      <c r="B37" s="49" t="s">
        <v>17</v>
      </c>
      <c r="C37" s="44">
        <v>4</v>
      </c>
      <c r="D37" s="44">
        <f>D36</f>
        <v>257</v>
      </c>
      <c r="E37" s="44" t="s">
        <v>115</v>
      </c>
      <c r="F37" s="44" t="s">
        <v>273</v>
      </c>
      <c r="G37" s="44" t="s">
        <v>117</v>
      </c>
      <c r="H37" s="23">
        <f t="shared" si="0"/>
        <v>342.66666666666663</v>
      </c>
      <c r="I37" s="41">
        <f t="shared" si="1"/>
        <v>0</v>
      </c>
      <c r="J37" s="42">
        <f t="shared" si="2"/>
        <v>228.90133333333333</v>
      </c>
      <c r="K37" s="63">
        <f t="shared" si="3"/>
        <v>0</v>
      </c>
      <c r="L37" s="43">
        <f t="shared" si="4"/>
        <v>0.668</v>
      </c>
      <c r="M37" s="43">
        <f t="shared" si="5"/>
        <v>1.3333333333333333</v>
      </c>
    </row>
    <row r="38" spans="1:13" s="16" customFormat="1" ht="15">
      <c r="A38" s="40" t="s">
        <v>120</v>
      </c>
      <c r="B38" s="49" t="s">
        <v>17</v>
      </c>
      <c r="C38" s="44">
        <v>4</v>
      </c>
      <c r="D38" s="44">
        <v>216</v>
      </c>
      <c r="E38" s="44"/>
      <c r="F38" s="44" t="s">
        <v>282</v>
      </c>
      <c r="G38" s="44" t="s">
        <v>117</v>
      </c>
      <c r="H38" s="23">
        <f t="shared" si="0"/>
        <v>162054</v>
      </c>
      <c r="I38" s="41">
        <f t="shared" si="1"/>
        <v>0</v>
      </c>
      <c r="J38" s="42">
        <f t="shared" si="2"/>
        <v>108252.072</v>
      </c>
      <c r="K38" s="63">
        <f t="shared" si="3"/>
        <v>0</v>
      </c>
      <c r="L38" s="43">
        <f t="shared" si="4"/>
        <v>0.668</v>
      </c>
      <c r="M38" s="43">
        <f t="shared" si="5"/>
        <v>750.25</v>
      </c>
    </row>
    <row r="39" spans="1:13" s="16" customFormat="1" ht="15">
      <c r="A39" s="40" t="s">
        <v>283</v>
      </c>
      <c r="B39" s="49" t="s">
        <v>17</v>
      </c>
      <c r="C39" s="44">
        <v>4</v>
      </c>
      <c r="D39" s="44">
        <f>D38*19</f>
        <v>4104</v>
      </c>
      <c r="E39" s="44"/>
      <c r="F39" s="44" t="s">
        <v>273</v>
      </c>
      <c r="G39" s="44" t="s">
        <v>117</v>
      </c>
      <c r="H39" s="23">
        <f t="shared" si="0"/>
        <v>5472</v>
      </c>
      <c r="I39" s="41">
        <f t="shared" si="1"/>
        <v>0</v>
      </c>
      <c r="J39" s="42">
        <f t="shared" si="2"/>
        <v>3655.2960000000003</v>
      </c>
      <c r="K39" s="63">
        <f t="shared" si="3"/>
        <v>0</v>
      </c>
      <c r="L39" s="43">
        <f>IF($B39="E",LOOKUP(C39,$D$9:$L$9,$D$10:$L$10),LOOKUP(C39,$D$9:$L$9,$D$10:$L$10))</f>
        <v>0.668</v>
      </c>
      <c r="M39" s="43">
        <f>(LEFT(F39,(FIND("'",F39)-1)))+((MID(F39,FIND("-",F39)+1,((FIND("""",F39)-(FIND("-",F39))-1))))/12)</f>
        <v>1.3333333333333333</v>
      </c>
    </row>
    <row r="40" spans="1:13" s="16" customFormat="1" ht="15">
      <c r="A40" s="40" t="s">
        <v>284</v>
      </c>
      <c r="B40" s="49" t="s">
        <v>17</v>
      </c>
      <c r="C40" s="44">
        <v>4</v>
      </c>
      <c r="D40" s="44">
        <v>34</v>
      </c>
      <c r="E40" s="44"/>
      <c r="F40" s="44" t="s">
        <v>286</v>
      </c>
      <c r="G40" s="44" t="s">
        <v>117</v>
      </c>
      <c r="H40" s="23">
        <f t="shared" si="0"/>
        <v>3783.916666666667</v>
      </c>
      <c r="I40" s="41">
        <f t="shared" si="1"/>
        <v>0</v>
      </c>
      <c r="J40" s="42">
        <f t="shared" si="2"/>
        <v>2527.656333333334</v>
      </c>
      <c r="K40" s="63">
        <f t="shared" si="3"/>
        <v>0</v>
      </c>
      <c r="L40" s="43">
        <f>IF($B40="E",LOOKUP(C40,$D$9:$L$9,$D$10:$L$10),LOOKUP(C40,$D$9:$L$9,$D$10:$L$10))</f>
        <v>0.668</v>
      </c>
      <c r="M40" s="43">
        <f>(LEFT(F40,(FIND("'",F40)-1)))+((MID(F40,FIND("-",F40)+1,((FIND("""",F40)-(FIND("-",F40))-1))))/12)</f>
        <v>111.29166666666667</v>
      </c>
    </row>
    <row r="41" spans="1:13" s="16" customFormat="1" ht="15">
      <c r="A41" s="40" t="s">
        <v>287</v>
      </c>
      <c r="B41" s="49" t="s">
        <v>17</v>
      </c>
      <c r="C41" s="44">
        <v>4</v>
      </c>
      <c r="D41" s="44">
        <f>D40*2</f>
        <v>68</v>
      </c>
      <c r="E41" s="44"/>
      <c r="F41" s="44" t="s">
        <v>273</v>
      </c>
      <c r="G41" s="44" t="s">
        <v>117</v>
      </c>
      <c r="H41" s="23">
        <f t="shared" si="0"/>
        <v>90.66666666666666</v>
      </c>
      <c r="I41" s="41">
        <f t="shared" si="1"/>
        <v>0</v>
      </c>
      <c r="J41" s="42">
        <f t="shared" si="2"/>
        <v>60.56533333333333</v>
      </c>
      <c r="K41" s="63">
        <f t="shared" si="3"/>
        <v>0</v>
      </c>
      <c r="L41" s="43">
        <f>IF($B41="E",LOOKUP(C41,$D$9:$L$9,$D$10:$L$10),LOOKUP(C41,$D$9:$L$9,$D$10:$L$10))</f>
        <v>0.668</v>
      </c>
      <c r="M41" s="43">
        <f>(LEFT(F41,(FIND("'",F41)-1)))+((MID(F41,FIND("-",F41)+1,((FIND("""",F41)-(FIND("-",F41))-1))))/12)</f>
        <v>1.3333333333333333</v>
      </c>
    </row>
    <row r="42" spans="1:13" s="16" customFormat="1" ht="15">
      <c r="A42" s="40" t="s">
        <v>285</v>
      </c>
      <c r="B42" s="49" t="s">
        <v>17</v>
      </c>
      <c r="C42" s="44">
        <v>4</v>
      </c>
      <c r="D42" s="44">
        <v>34</v>
      </c>
      <c r="E42" s="44"/>
      <c r="F42" s="44" t="s">
        <v>289</v>
      </c>
      <c r="G42" s="44" t="s">
        <v>117</v>
      </c>
      <c r="H42" s="23">
        <f t="shared" si="0"/>
        <v>1530</v>
      </c>
      <c r="I42" s="41">
        <f t="shared" si="1"/>
        <v>0</v>
      </c>
      <c r="J42" s="42">
        <f t="shared" si="2"/>
        <v>1022.0400000000001</v>
      </c>
      <c r="K42" s="63">
        <f t="shared" si="3"/>
        <v>0</v>
      </c>
      <c r="L42" s="43">
        <f>IF($B42="E",LOOKUP(C42,$D$9:$L$9,$D$10:$L$10),LOOKUP(C42,$D$9:$L$9,$D$10:$L$10))</f>
        <v>0.668</v>
      </c>
      <c r="M42" s="43">
        <f>(LEFT(F42,(FIND("'",F42)-1)))+((MID(F42,FIND("-",F42)+1,((FIND("""",F42)-(FIND("-",F42))-1))))/12)</f>
        <v>45</v>
      </c>
    </row>
    <row r="43" spans="1:13" s="16" customFormat="1" ht="15">
      <c r="A43" s="40" t="s">
        <v>290</v>
      </c>
      <c r="B43" s="49" t="s">
        <v>17</v>
      </c>
      <c r="C43" s="44">
        <v>4</v>
      </c>
      <c r="D43" s="44">
        <v>1770</v>
      </c>
      <c r="E43" s="44"/>
      <c r="F43" s="44" t="s">
        <v>292</v>
      </c>
      <c r="G43" s="44" t="s">
        <v>161</v>
      </c>
      <c r="H43" s="23">
        <f t="shared" si="0"/>
        <v>17110</v>
      </c>
      <c r="I43" s="41">
        <f t="shared" si="1"/>
        <v>0</v>
      </c>
      <c r="J43" s="42">
        <f t="shared" si="2"/>
        <v>11429.480000000001</v>
      </c>
      <c r="K43" s="63">
        <f t="shared" si="3"/>
        <v>0</v>
      </c>
      <c r="L43" s="43">
        <f>IF($B43="E",LOOKUP(C43,$D$9:$L$9,$D$10:$L$10),LOOKUP(C43,$D$9:$L$9,$D$10:$L$10))</f>
        <v>0.668</v>
      </c>
      <c r="M43" s="43">
        <f>(LEFT(F43,(FIND("'",F43)-1)))+((MID(F43,FIND("-",F43)+1,((FIND("""",F43)-(FIND("-",F43))-1))))/12)</f>
        <v>9.666666666666666</v>
      </c>
    </row>
    <row r="44" spans="1:13" s="16" customFormat="1" ht="15">
      <c r="A44" s="40" t="s">
        <v>291</v>
      </c>
      <c r="B44" s="49" t="s">
        <v>17</v>
      </c>
      <c r="C44" s="44">
        <v>4</v>
      </c>
      <c r="D44" s="44">
        <v>236</v>
      </c>
      <c r="E44" s="44"/>
      <c r="F44" s="44" t="s">
        <v>293</v>
      </c>
      <c r="G44" s="44" t="s">
        <v>161</v>
      </c>
      <c r="H44" s="23">
        <f t="shared" si="0"/>
        <v>2006</v>
      </c>
      <c r="I44" s="41">
        <f t="shared" si="1"/>
        <v>0</v>
      </c>
      <c r="J44" s="42">
        <f t="shared" si="2"/>
        <v>1340.008</v>
      </c>
      <c r="K44" s="63">
        <f t="shared" si="3"/>
        <v>0</v>
      </c>
      <c r="L44" s="43">
        <f>IF($B44="E",LOOKUP(C44,$D$9:$L$9,$D$10:$L$10),LOOKUP(C44,$D$9:$L$9,$D$10:$L$10))</f>
        <v>0.668</v>
      </c>
      <c r="M44" s="43">
        <f>(LEFT(F44,(FIND("'",F44)-1)))+((MID(F44,FIND("-",F44)+1,((FIND("""",F44)-(FIND("-",F44))-1))))/12)</f>
        <v>8.5</v>
      </c>
    </row>
    <row r="45" spans="1:13" s="16" customFormat="1" ht="15">
      <c r="A45" s="40" t="s">
        <v>126</v>
      </c>
      <c r="B45" s="49" t="s">
        <v>17</v>
      </c>
      <c r="C45" s="44">
        <v>9</v>
      </c>
      <c r="D45" s="44">
        <v>1285</v>
      </c>
      <c r="E45" s="44" t="s">
        <v>115</v>
      </c>
      <c r="F45" s="44" t="s">
        <v>127</v>
      </c>
      <c r="G45" s="44" t="s">
        <v>117</v>
      </c>
      <c r="H45" s="23">
        <f t="shared" si="0"/>
        <v>77100</v>
      </c>
      <c r="I45" s="41">
        <f t="shared" si="1"/>
        <v>0</v>
      </c>
      <c r="J45" s="42">
        <f t="shared" si="2"/>
        <v>262140</v>
      </c>
      <c r="K45" s="63">
        <f t="shared" si="3"/>
        <v>0</v>
      </c>
      <c r="L45" s="43">
        <f>IF($B45="E",LOOKUP(C45,$D$9:$L$9,$D$10:$L$10),LOOKUP(C45,$D$9:$L$9,$D$10:$L$10))</f>
        <v>3.4</v>
      </c>
      <c r="M45" s="43">
        <f>(LEFT(F45,(FIND("'",F45)-1)))+((MID(F45,FIND("-",F45)+1,((FIND("""",F45)-(FIND("-",F45))-1))))/12)</f>
        <v>60</v>
      </c>
    </row>
    <row r="46" spans="1:13" s="16" customFormat="1" ht="18" thickBot="1">
      <c r="A46" s="25" t="s">
        <v>128</v>
      </c>
      <c r="B46" s="26"/>
      <c r="C46" s="26"/>
      <c r="D46" s="26"/>
      <c r="E46" s="26"/>
      <c r="F46" s="26"/>
      <c r="G46" s="26"/>
      <c r="H46" s="26"/>
      <c r="I46" s="26"/>
      <c r="J46" s="26"/>
      <c r="K46" s="26"/>
      <c r="L46" s="26"/>
      <c r="M46" s="26"/>
    </row>
    <row r="47" spans="1:13" s="16" customFormat="1" ht="15.75" thickTop="1">
      <c r="A47" s="40" t="s">
        <v>129</v>
      </c>
      <c r="B47" s="49" t="s">
        <v>17</v>
      </c>
      <c r="C47" s="44">
        <v>4</v>
      </c>
      <c r="D47" s="44">
        <v>18</v>
      </c>
      <c r="E47" s="44" t="s">
        <v>130</v>
      </c>
      <c r="F47" s="44" t="s">
        <v>116</v>
      </c>
      <c r="G47" s="44" t="s">
        <v>117</v>
      </c>
      <c r="H47" s="23">
        <f>IF($B47="E",$D47*$M47,0)</f>
        <v>13909.5</v>
      </c>
      <c r="I47" s="41">
        <f>IF($B47="E",0,$D47*$M47)</f>
        <v>0</v>
      </c>
      <c r="J47" s="42">
        <f t="shared" si="2"/>
        <v>9291.546</v>
      </c>
      <c r="K47" s="63">
        <f t="shared" si="3"/>
        <v>0</v>
      </c>
      <c r="L47" s="43">
        <f>IF($B47="E",LOOKUP(C47,$D$9:$L$9,$D$10:$L$10),LOOKUP(C47,$D$9:$L$9,$D$10:$L$10))</f>
        <v>0.668</v>
      </c>
      <c r="M47" s="43">
        <f>(LEFT(F47,(FIND("'",F47)-1)))+((MID(F47,FIND("-",F47)+1,((FIND("""",F47)-(FIND("-",F47))-1))))/12)</f>
        <v>772.75</v>
      </c>
    </row>
    <row r="48" spans="1:13" s="16" customFormat="1" ht="15">
      <c r="A48" s="40" t="s">
        <v>131</v>
      </c>
      <c r="B48" s="49" t="s">
        <v>17</v>
      </c>
      <c r="C48" s="44">
        <v>4</v>
      </c>
      <c r="D48" s="44">
        <v>1006</v>
      </c>
      <c r="E48" s="44" t="s">
        <v>130</v>
      </c>
      <c r="F48" s="44" t="s">
        <v>132</v>
      </c>
      <c r="G48" s="44" t="s">
        <v>117</v>
      </c>
      <c r="H48" s="23">
        <f>IF($B48="E",$D48*$M48,0)</f>
        <v>9221.666666666666</v>
      </c>
      <c r="I48" s="41">
        <f>IF($B48="E",0,$D48*$M48)</f>
        <v>0</v>
      </c>
      <c r="J48" s="42">
        <f t="shared" si="2"/>
        <v>6160.073333333334</v>
      </c>
      <c r="K48" s="63">
        <f t="shared" si="3"/>
        <v>0</v>
      </c>
      <c r="L48" s="43">
        <f>IF($B48="E",LOOKUP(C48,$D$9:$L$9,$D$10:$L$10),LOOKUP(C48,$D$9:$L$9,$D$10:$L$10))</f>
        <v>0.668</v>
      </c>
      <c r="M48" s="43">
        <f>(LEFT(F48,(FIND("'",F48)-1)))+((MID(F48,FIND("-",F48)+1,((FIND("""",F48)-(FIND("-",F48))-1))))/12)</f>
        <v>9.166666666666666</v>
      </c>
    </row>
    <row r="49" spans="1:13" s="16" customFormat="1" ht="15">
      <c r="A49" s="40" t="s">
        <v>161</v>
      </c>
      <c r="B49" s="49" t="s">
        <v>17</v>
      </c>
      <c r="C49" s="44">
        <v>4</v>
      </c>
      <c r="D49" s="44">
        <v>4016</v>
      </c>
      <c r="E49" s="44" t="s">
        <v>154</v>
      </c>
      <c r="F49" s="44" t="s">
        <v>298</v>
      </c>
      <c r="G49" s="44" t="s">
        <v>113</v>
      </c>
      <c r="H49" s="23">
        <f t="shared" si="0"/>
        <v>24096</v>
      </c>
      <c r="I49" s="41">
        <f t="shared" si="1"/>
        <v>0</v>
      </c>
      <c r="J49" s="42">
        <f t="shared" si="2"/>
        <v>16096.128</v>
      </c>
      <c r="K49" s="63">
        <f t="shared" si="3"/>
        <v>0</v>
      </c>
      <c r="L49" s="43">
        <f>IF($B49="E",LOOKUP(C49,$D$9:$L$9,$D$10:$L$10),LOOKUP(C49,$D$9:$L$9,$D$10:$L$10))</f>
        <v>0.668</v>
      </c>
      <c r="M49" s="43">
        <f>(LEFT(F49,(FIND("'",F49)-1)))+((MID(F49,FIND("-",F49)+1,((FIND("""",F49)-(FIND("-",F49))-1))))/12)</f>
        <v>6</v>
      </c>
    </row>
    <row r="50" spans="1:13" s="16" customFormat="1" ht="15">
      <c r="A50" s="40" t="s">
        <v>294</v>
      </c>
      <c r="B50" s="49" t="s">
        <v>17</v>
      </c>
      <c r="C50" s="44">
        <v>4</v>
      </c>
      <c r="D50" s="44">
        <v>2008</v>
      </c>
      <c r="E50" s="44" t="s">
        <v>130</v>
      </c>
      <c r="F50" s="44" t="s">
        <v>296</v>
      </c>
      <c r="G50" s="44" t="s">
        <v>113</v>
      </c>
      <c r="H50" s="23">
        <f t="shared" si="0"/>
        <v>5689.333333333334</v>
      </c>
      <c r="I50" s="41">
        <f t="shared" si="1"/>
        <v>0</v>
      </c>
      <c r="J50" s="42">
        <f t="shared" si="2"/>
        <v>3800.4746666666674</v>
      </c>
      <c r="K50" s="63">
        <f t="shared" si="3"/>
        <v>0</v>
      </c>
      <c r="L50" s="43">
        <f>IF($B50="E",LOOKUP(C50,$D$9:$L$9,$D$10:$L$10),LOOKUP(C50,$D$9:$L$9,$D$10:$L$10))</f>
        <v>0.668</v>
      </c>
      <c r="M50" s="43">
        <f>(LEFT(F50,(FIND("'",F50)-1)))+((MID(F50,FIND("-",F50)+1,((FIND("""",F50)-(FIND("-",F50))-1))))/12)</f>
        <v>2.8333333333333335</v>
      </c>
    </row>
    <row r="51" spans="1:13" s="16" customFormat="1" ht="15">
      <c r="A51" s="40" t="s">
        <v>295</v>
      </c>
      <c r="B51" s="49" t="s">
        <v>17</v>
      </c>
      <c r="C51" s="44">
        <v>4</v>
      </c>
      <c r="D51" s="44">
        <v>2008</v>
      </c>
      <c r="E51" s="44" t="s">
        <v>130</v>
      </c>
      <c r="F51" s="44" t="s">
        <v>297</v>
      </c>
      <c r="G51" s="44" t="s">
        <v>113</v>
      </c>
      <c r="H51" s="23">
        <f t="shared" si="0"/>
        <v>4016</v>
      </c>
      <c r="I51" s="41">
        <f t="shared" si="1"/>
        <v>0</v>
      </c>
      <c r="J51" s="42">
        <f t="shared" si="2"/>
        <v>2682.688</v>
      </c>
      <c r="K51" s="63">
        <f t="shared" si="3"/>
        <v>0</v>
      </c>
      <c r="L51" s="43">
        <f>IF($B51="E",LOOKUP(C51,$D$9:$L$9,$D$10:$L$10),LOOKUP(C51,$D$9:$L$9,$D$10:$L$10))</f>
        <v>0.668</v>
      </c>
      <c r="M51" s="43">
        <f>(LEFT(F51,(FIND("'",F51)-1)))+((MID(F51,FIND("-",F51)+1,((FIND("""",F51)-(FIND("-",F51))-1))))/12)</f>
        <v>2</v>
      </c>
    </row>
    <row r="52" spans="1:13" s="16" customFormat="1" ht="18" thickBot="1">
      <c r="A52" s="25" t="s">
        <v>299</v>
      </c>
      <c r="B52" s="26"/>
      <c r="C52" s="26"/>
      <c r="D52" s="26"/>
      <c r="E52" s="26"/>
      <c r="F52" s="26"/>
      <c r="G52" s="26"/>
      <c r="H52" s="26"/>
      <c r="I52" s="26"/>
      <c r="J52" s="26"/>
      <c r="K52" s="26"/>
      <c r="L52" s="26"/>
      <c r="M52" s="26"/>
    </row>
    <row r="53" spans="1:13" s="16" customFormat="1" ht="15.75" thickTop="1">
      <c r="A53" s="40" t="s">
        <v>300</v>
      </c>
      <c r="B53" s="49" t="s">
        <v>17</v>
      </c>
      <c r="C53" s="44">
        <v>5</v>
      </c>
      <c r="D53" s="44">
        <v>54</v>
      </c>
      <c r="E53" s="44" t="s">
        <v>115</v>
      </c>
      <c r="F53" s="44" t="s">
        <v>301</v>
      </c>
      <c r="G53" s="44" t="s">
        <v>117</v>
      </c>
      <c r="H53" s="23">
        <f>IF($B53="E",$D53*$M53,0)</f>
        <v>102.37500000000001</v>
      </c>
      <c r="I53" s="41">
        <f>IF($B53="E",0,$D53*$M53)</f>
        <v>0</v>
      </c>
      <c r="J53" s="42">
        <f t="shared" si="2"/>
        <v>106.77712500000001</v>
      </c>
      <c r="K53" s="63">
        <f t="shared" si="3"/>
        <v>0</v>
      </c>
      <c r="L53" s="43">
        <f>IF($B53="E",LOOKUP(C53,$D$9:$L$9,$D$10:$L$10),LOOKUP(C53,$D$9:$L$9,$D$10:$L$10))</f>
        <v>1.043</v>
      </c>
      <c r="M53" s="43">
        <f>(LEFT(F53,(FIND("'",F53)-1)))+((MID(F53,FIND("-",F53)+1,((FIND("""",F53)-(FIND("-",F53))-1))))/12)</f>
        <v>1.8958333333333335</v>
      </c>
    </row>
    <row r="54" spans="1:13" s="16" customFormat="1" ht="15">
      <c r="A54" s="40" t="s">
        <v>302</v>
      </c>
      <c r="B54" s="49" t="s">
        <v>17</v>
      </c>
      <c r="C54" s="44">
        <v>6</v>
      </c>
      <c r="D54" s="44">
        <v>12</v>
      </c>
      <c r="E54" s="44"/>
      <c r="F54" s="44" t="s">
        <v>303</v>
      </c>
      <c r="G54" s="44"/>
      <c r="H54" s="23">
        <f>IF($B54="E",$D54*$M54,0)</f>
        <v>132</v>
      </c>
      <c r="I54" s="41">
        <f>IF($B54="E",0,$D54*$M54)</f>
        <v>0</v>
      </c>
      <c r="J54" s="42">
        <f t="shared" si="2"/>
        <v>198.264</v>
      </c>
      <c r="K54" s="63">
        <f t="shared" si="3"/>
        <v>0</v>
      </c>
      <c r="L54" s="43">
        <f>IF($B54="E",LOOKUP(C54,$D$9:$L$9,$D$10:$L$10),LOOKUP(C54,$D$9:$L$9,$D$10:$L$10))</f>
        <v>1.502</v>
      </c>
      <c r="M54" s="43">
        <f>(LEFT(F54,(FIND("'",F54)-1)))+((MID(F54,FIND("-",F54)+1,((FIND("""",F54)-(FIND("-",F54))-1))))/12)</f>
        <v>11</v>
      </c>
    </row>
    <row r="55" spans="1:13" s="16" customFormat="1" ht="15">
      <c r="A55" s="40" t="s">
        <v>304</v>
      </c>
      <c r="B55" s="49" t="s">
        <v>17</v>
      </c>
      <c r="C55" s="44">
        <v>5</v>
      </c>
      <c r="D55" s="44">
        <v>18</v>
      </c>
      <c r="E55" s="44"/>
      <c r="F55" s="44" t="s">
        <v>305</v>
      </c>
      <c r="G55" s="44"/>
      <c r="H55" s="23">
        <f t="shared" si="0"/>
        <v>162</v>
      </c>
      <c r="I55" s="41">
        <f t="shared" si="1"/>
        <v>0</v>
      </c>
      <c r="J55" s="42">
        <f t="shared" si="2"/>
        <v>168.96599999999998</v>
      </c>
      <c r="K55" s="63">
        <f t="shared" si="3"/>
        <v>0</v>
      </c>
      <c r="L55" s="43">
        <f>IF($B55="E",LOOKUP(C55,$D$9:$L$9,$D$10:$L$10),LOOKUP(C55,$D$9:$L$9,$D$10:$L$10))</f>
        <v>1.043</v>
      </c>
      <c r="M55" s="43">
        <f>(LEFT(F55,(FIND("'",F55)-1)))+((MID(F55,FIND("-",F55)+1,((FIND("""",F55)-(FIND("-",F55))-1))))/12)</f>
        <v>9</v>
      </c>
    </row>
    <row r="56" spans="1:13" s="16" customFormat="1" ht="15">
      <c r="A56" s="40" t="s">
        <v>306</v>
      </c>
      <c r="B56" s="49" t="s">
        <v>17</v>
      </c>
      <c r="C56" s="44">
        <v>5</v>
      </c>
      <c r="D56" s="44">
        <v>36</v>
      </c>
      <c r="E56" s="44"/>
      <c r="F56" s="44" t="s">
        <v>186</v>
      </c>
      <c r="G56" s="44"/>
      <c r="H56" s="23">
        <f t="shared" si="0"/>
        <v>180</v>
      </c>
      <c r="I56" s="41">
        <f t="shared" si="1"/>
        <v>0</v>
      </c>
      <c r="J56" s="42">
        <f t="shared" si="2"/>
        <v>187.73999999999998</v>
      </c>
      <c r="K56" s="63">
        <f t="shared" si="3"/>
        <v>0</v>
      </c>
      <c r="L56" s="43">
        <f>IF($B56="E",LOOKUP(C56,$D$9:$L$9,$D$10:$L$10),LOOKUP(C56,$D$9:$L$9,$D$10:$L$10))</f>
        <v>1.043</v>
      </c>
      <c r="M56" s="43">
        <f>(LEFT(F56,(FIND("'",F56)-1)))+((MID(F56,FIND("-",F56)+1,((FIND("""",F56)-(FIND("-",F56))-1))))/12)</f>
        <v>5</v>
      </c>
    </row>
    <row r="57" spans="1:13" s="16" customFormat="1" ht="18" thickBot="1">
      <c r="A57" s="25" t="s">
        <v>134</v>
      </c>
      <c r="B57" s="26"/>
      <c r="C57" s="26"/>
      <c r="D57" s="26"/>
      <c r="E57" s="26"/>
      <c r="F57" s="26"/>
      <c r="G57" s="26"/>
      <c r="H57" s="26"/>
      <c r="I57" s="26"/>
      <c r="J57" s="26"/>
      <c r="K57" s="26"/>
      <c r="L57" s="26"/>
      <c r="M57" s="26"/>
    </row>
    <row r="58" spans="1:13" s="16" customFormat="1" ht="15.75" thickTop="1">
      <c r="A58" s="40" t="s">
        <v>137</v>
      </c>
      <c r="B58" s="49" t="s">
        <v>17</v>
      </c>
      <c r="C58" s="44">
        <v>5</v>
      </c>
      <c r="D58" s="44">
        <v>260</v>
      </c>
      <c r="E58" s="44" t="s">
        <v>138</v>
      </c>
      <c r="F58" s="44" t="s">
        <v>139</v>
      </c>
      <c r="G58" s="44" t="s">
        <v>117</v>
      </c>
      <c r="H58" s="23">
        <f t="shared" si="0"/>
        <v>910</v>
      </c>
      <c r="I58" s="41">
        <f t="shared" si="1"/>
        <v>0</v>
      </c>
      <c r="J58" s="42">
        <f t="shared" si="2"/>
        <v>949.1299999999999</v>
      </c>
      <c r="K58" s="63">
        <f t="shared" si="3"/>
        <v>0</v>
      </c>
      <c r="L58" s="43">
        <f>IF($B58="E",LOOKUP(C58,$D$9:$L$9,$D$10:$L$10),LOOKUP(C58,$D$9:$L$9,$D$10:$L$10))</f>
        <v>1.043</v>
      </c>
      <c r="M58" s="43">
        <f>(LEFT(F58,(FIND("'",F58)-1)))+((MID(F58,FIND("-",F58)+1,((FIND("""",F58)-(FIND("-",F58))-1))))/12)</f>
        <v>3.5</v>
      </c>
    </row>
    <row r="59" spans="1:13" s="16" customFormat="1" ht="15">
      <c r="A59" s="40" t="s">
        <v>140</v>
      </c>
      <c r="B59" s="49" t="s">
        <v>17</v>
      </c>
      <c r="C59" s="44">
        <v>9</v>
      </c>
      <c r="D59" s="44">
        <v>18</v>
      </c>
      <c r="E59" s="44"/>
      <c r="F59" s="44" t="s">
        <v>141</v>
      </c>
      <c r="G59" s="44" t="s">
        <v>117</v>
      </c>
      <c r="H59" s="23">
        <f t="shared" si="0"/>
        <v>2466</v>
      </c>
      <c r="I59" s="41">
        <f t="shared" si="1"/>
        <v>0</v>
      </c>
      <c r="J59" s="42">
        <f t="shared" si="2"/>
        <v>8384.4</v>
      </c>
      <c r="K59" s="63">
        <f t="shared" si="3"/>
        <v>0</v>
      </c>
      <c r="L59" s="43">
        <f>IF($B59="E",LOOKUP(C59,$D$9:$L$9,$D$10:$L$10),LOOKUP(C59,$D$9:$L$9,$D$10:$L$10))</f>
        <v>3.4</v>
      </c>
      <c r="M59" s="43">
        <f>(LEFT(F59,(FIND("'",F59)-1)))+((MID(F59,FIND("-",F59)+1,((FIND("""",F59)-(FIND("-",F59))-1))))/12)</f>
        <v>137</v>
      </c>
    </row>
    <row r="60" spans="1:13" s="16" customFormat="1" ht="15">
      <c r="A60" s="40" t="s">
        <v>143</v>
      </c>
      <c r="B60" s="49" t="s">
        <v>17</v>
      </c>
      <c r="C60" s="44">
        <v>9</v>
      </c>
      <c r="D60" s="44">
        <v>12</v>
      </c>
      <c r="E60" s="44"/>
      <c r="F60" s="44" t="s">
        <v>141</v>
      </c>
      <c r="G60" s="44" t="s">
        <v>117</v>
      </c>
      <c r="H60" s="23">
        <f t="shared" si="0"/>
        <v>1644</v>
      </c>
      <c r="I60" s="41">
        <f t="shared" si="1"/>
        <v>0</v>
      </c>
      <c r="J60" s="42">
        <f t="shared" si="2"/>
        <v>5589.599999999999</v>
      </c>
      <c r="K60" s="63">
        <f t="shared" si="3"/>
        <v>0</v>
      </c>
      <c r="L60" s="43">
        <f>IF($B60="E",LOOKUP(C60,$D$9:$L$9,$D$10:$L$10),LOOKUP(C60,$D$9:$L$9,$D$10:$L$10))</f>
        <v>3.4</v>
      </c>
      <c r="M60" s="43">
        <f>(LEFT(F60,(FIND("'",F60)-1)))+((MID(F60,FIND("-",F60)+1,((FIND("""",F60)-(FIND("-",F60))-1))))/12)</f>
        <v>137</v>
      </c>
    </row>
    <row r="61" spans="1:13" s="16" customFormat="1" ht="15">
      <c r="A61" s="40" t="s">
        <v>142</v>
      </c>
      <c r="B61" s="49" t="s">
        <v>17</v>
      </c>
      <c r="C61" s="44">
        <v>6</v>
      </c>
      <c r="D61" s="44">
        <v>28</v>
      </c>
      <c r="E61" s="44"/>
      <c r="F61" s="44" t="s">
        <v>119</v>
      </c>
      <c r="G61" s="44" t="s">
        <v>117</v>
      </c>
      <c r="H61" s="23">
        <f t="shared" si="0"/>
        <v>3707.6666666666665</v>
      </c>
      <c r="I61" s="41">
        <f t="shared" si="1"/>
        <v>0</v>
      </c>
      <c r="J61" s="42">
        <f t="shared" si="2"/>
        <v>5568.915333333333</v>
      </c>
      <c r="K61" s="63">
        <f t="shared" si="3"/>
        <v>0</v>
      </c>
      <c r="L61" s="43">
        <f>IF($B61="E",LOOKUP(C61,$D$9:$L$9,$D$10:$L$10),LOOKUP(C61,$D$9:$L$9,$D$10:$L$10))</f>
        <v>1.502</v>
      </c>
      <c r="M61" s="43">
        <f>(LEFT(F61,(FIND("'",F61)-1)))+((MID(F61,FIND("-",F61)+1,((FIND("""",F61)-(FIND("-",F61))-1))))/12)</f>
        <v>132.41666666666666</v>
      </c>
    </row>
    <row r="62" spans="1:13" s="16" customFormat="1" ht="15">
      <c r="A62" s="40" t="s">
        <v>144</v>
      </c>
      <c r="B62" s="49" t="s">
        <v>17</v>
      </c>
      <c r="C62" s="44">
        <v>6</v>
      </c>
      <c r="D62" s="44">
        <v>224</v>
      </c>
      <c r="E62" s="44"/>
      <c r="F62" s="44" t="s">
        <v>145</v>
      </c>
      <c r="G62" s="44" t="s">
        <v>117</v>
      </c>
      <c r="H62" s="23">
        <f t="shared" si="0"/>
        <v>1325.3333333333335</v>
      </c>
      <c r="I62" s="41">
        <f t="shared" si="1"/>
        <v>0</v>
      </c>
      <c r="J62" s="42">
        <f t="shared" si="2"/>
        <v>1990.650666666667</v>
      </c>
      <c r="K62" s="63">
        <f t="shared" si="3"/>
        <v>0</v>
      </c>
      <c r="L62" s="43">
        <f>IF($B62="E",LOOKUP(C62,$D$9:$L$9,$D$10:$L$10),LOOKUP(C62,$D$9:$L$9,$D$10:$L$10))</f>
        <v>1.502</v>
      </c>
      <c r="M62" s="43">
        <f>(LEFT(F62,(FIND("'",F62)-1)))+((MID(F62,FIND("-",F62)+1,((FIND("""",F62)-(FIND("-",F62))-1))))/12)</f>
        <v>5.916666666666667</v>
      </c>
    </row>
    <row r="63" spans="1:13" s="16" customFormat="1" ht="15">
      <c r="A63" s="40" t="s">
        <v>146</v>
      </c>
      <c r="B63" s="49" t="s">
        <v>17</v>
      </c>
      <c r="C63" s="44">
        <v>6</v>
      </c>
      <c r="D63" s="44">
        <v>28</v>
      </c>
      <c r="E63" s="44"/>
      <c r="F63" s="44" t="s">
        <v>147</v>
      </c>
      <c r="G63" s="44" t="s">
        <v>117</v>
      </c>
      <c r="H63" s="23">
        <f>IF($B63="E",$D63*$M63,0)</f>
        <v>88.66666666666666</v>
      </c>
      <c r="I63" s="41">
        <f>IF($B63="E",0,$D63*$M63)</f>
        <v>0</v>
      </c>
      <c r="J63" s="42">
        <f>$H63*$L63</f>
        <v>133.1773333333333</v>
      </c>
      <c r="K63" s="63">
        <f>$I63*$L63</f>
        <v>0</v>
      </c>
      <c r="L63" s="43">
        <f>IF($B63="E",LOOKUP(C63,$D$9:$L$9,$D$10:$L$10),LOOKUP(C63,$D$9:$L$9,$D$10:$L$10))</f>
        <v>1.502</v>
      </c>
      <c r="M63" s="43">
        <f>(LEFT(F63,(FIND("'",F63)-1)))+((MID(F63,FIND("-",F63)+1,((FIND("""",F63)-(FIND("-",F63))-1))))/12)</f>
        <v>3.1666666666666665</v>
      </c>
    </row>
    <row r="64" spans="1:13" s="16" customFormat="1" ht="15">
      <c r="A64" s="40" t="s">
        <v>148</v>
      </c>
      <c r="B64" s="49" t="s">
        <v>17</v>
      </c>
      <c r="C64" s="44">
        <v>8</v>
      </c>
      <c r="D64" s="44">
        <v>102</v>
      </c>
      <c r="E64" s="44"/>
      <c r="F64" s="44" t="s">
        <v>149</v>
      </c>
      <c r="G64" s="44" t="s">
        <v>117</v>
      </c>
      <c r="H64" s="23">
        <f aca="true" t="shared" si="6" ref="H64:H80">IF($B64="E",$D64*$M64,0)</f>
        <v>714</v>
      </c>
      <c r="I64" s="41">
        <f aca="true" t="shared" si="7" ref="I64:I80">IF($B64="E",0,$D64*$M64)</f>
        <v>0</v>
      </c>
      <c r="J64" s="42">
        <f aca="true" t="shared" si="8" ref="J64:J80">$H64*$L64</f>
        <v>1906.3799999999999</v>
      </c>
      <c r="K64" s="63">
        <f aca="true" t="shared" si="9" ref="K64:K80">$I64*$L64</f>
        <v>0</v>
      </c>
      <c r="L64" s="43">
        <f>IF($B64="E",LOOKUP(C64,$D$9:$L$9,$D$10:$L$10),LOOKUP(C64,$D$9:$L$9,$D$10:$L$10))</f>
        <v>2.67</v>
      </c>
      <c r="M64" s="43">
        <f>(LEFT(F64,(FIND("'",F64)-1)))+((MID(F64,FIND("-",F64)+1,((FIND("""",F64)-(FIND("-",F64))-1))))/12)</f>
        <v>7</v>
      </c>
    </row>
    <row r="65" spans="1:13" s="16" customFormat="1" ht="15">
      <c r="A65" s="40" t="s">
        <v>150</v>
      </c>
      <c r="B65" s="49" t="s">
        <v>17</v>
      </c>
      <c r="C65" s="44">
        <v>6</v>
      </c>
      <c r="D65" s="44">
        <v>68</v>
      </c>
      <c r="E65" s="44"/>
      <c r="F65" s="44" t="s">
        <v>151</v>
      </c>
      <c r="G65" s="44" t="s">
        <v>117</v>
      </c>
      <c r="H65" s="23">
        <f t="shared" si="6"/>
        <v>252.16666666666669</v>
      </c>
      <c r="I65" s="41">
        <f t="shared" si="7"/>
        <v>0</v>
      </c>
      <c r="J65" s="42">
        <f t="shared" si="8"/>
        <v>378.75433333333336</v>
      </c>
      <c r="K65" s="63">
        <f t="shared" si="9"/>
        <v>0</v>
      </c>
      <c r="L65" s="43">
        <f>IF($B65="E",LOOKUP(C65,$D$9:$L$9,$D$10:$L$10),LOOKUP(C65,$D$9:$L$9,$D$10:$L$10))</f>
        <v>1.502</v>
      </c>
      <c r="M65" s="43">
        <f>(LEFT(F65,(FIND("'",F65)-1)))+((MID(F65,FIND("-",F65)+1,((FIND("""",F65)-(FIND("-",F65))-1))))/12)</f>
        <v>3.7083333333333335</v>
      </c>
    </row>
    <row r="66" spans="1:13" s="16" customFormat="1" ht="15">
      <c r="A66" s="40" t="s">
        <v>152</v>
      </c>
      <c r="B66" s="49" t="s">
        <v>17</v>
      </c>
      <c r="C66" s="44">
        <v>6</v>
      </c>
      <c r="D66" s="44">
        <v>160</v>
      </c>
      <c r="E66" s="44" t="s">
        <v>154</v>
      </c>
      <c r="F66" s="44" t="s">
        <v>155</v>
      </c>
      <c r="G66" s="44" t="s">
        <v>117</v>
      </c>
      <c r="H66" s="23">
        <f t="shared" si="6"/>
        <v>1080</v>
      </c>
      <c r="I66" s="41">
        <f t="shared" si="7"/>
        <v>0</v>
      </c>
      <c r="J66" s="42">
        <f t="shared" si="8"/>
        <v>1622.16</v>
      </c>
      <c r="K66" s="63">
        <f t="shared" si="9"/>
        <v>0</v>
      </c>
      <c r="L66" s="43">
        <f>IF($B66="E",LOOKUP(C66,$D$9:$L$9,$D$10:$L$10),LOOKUP(C66,$D$9:$L$9,$D$10:$L$10))</f>
        <v>1.502</v>
      </c>
      <c r="M66" s="43">
        <f>(LEFT(F66,(FIND("'",F66)-1)))+((MID(F66,FIND("-",F66)+1,((FIND("""",F66)-(FIND("-",F66))-1))))/12)</f>
        <v>6.75</v>
      </c>
    </row>
    <row r="67" spans="1:13" s="16" customFormat="1" ht="15">
      <c r="A67" s="40" t="s">
        <v>153</v>
      </c>
      <c r="B67" s="49" t="s">
        <v>17</v>
      </c>
      <c r="C67" s="44">
        <v>6</v>
      </c>
      <c r="D67" s="44">
        <v>32</v>
      </c>
      <c r="E67" s="44"/>
      <c r="F67" s="44" t="s">
        <v>156</v>
      </c>
      <c r="G67" s="44" t="s">
        <v>117</v>
      </c>
      <c r="H67" s="23">
        <f t="shared" si="6"/>
        <v>120</v>
      </c>
      <c r="I67" s="41">
        <f t="shared" si="7"/>
        <v>0</v>
      </c>
      <c r="J67" s="42">
        <f t="shared" si="8"/>
        <v>180.24</v>
      </c>
      <c r="K67" s="63">
        <f t="shared" si="9"/>
        <v>0</v>
      </c>
      <c r="L67" s="43">
        <f>IF($B67="E",LOOKUP(C67,$D$9:$L$9,$D$10:$L$10),LOOKUP(C67,$D$9:$L$9,$D$10:$L$10))</f>
        <v>1.502</v>
      </c>
      <c r="M67" s="43">
        <f>(LEFT(F67,(FIND("'",F67)-1)))+((MID(F67,FIND("-",F67)+1,((FIND("""",F67)-(FIND("-",F67))-1))))/12)</f>
        <v>3.75</v>
      </c>
    </row>
    <row r="68" spans="1:13" s="16" customFormat="1" ht="15">
      <c r="A68" s="40" t="s">
        <v>157</v>
      </c>
      <c r="B68" s="49" t="s">
        <v>17</v>
      </c>
      <c r="C68" s="44">
        <v>6</v>
      </c>
      <c r="D68" s="44">
        <v>164</v>
      </c>
      <c r="E68" s="44" t="s">
        <v>154</v>
      </c>
      <c r="F68" s="44" t="s">
        <v>163</v>
      </c>
      <c r="G68" s="44" t="s">
        <v>161</v>
      </c>
      <c r="H68" s="23">
        <f t="shared" si="6"/>
        <v>2282.333333333333</v>
      </c>
      <c r="I68" s="41">
        <f t="shared" si="7"/>
        <v>0</v>
      </c>
      <c r="J68" s="42">
        <f t="shared" si="8"/>
        <v>3428.064666666666</v>
      </c>
      <c r="K68" s="63">
        <f t="shared" si="9"/>
        <v>0</v>
      </c>
      <c r="L68" s="43">
        <f aca="true" t="shared" si="10" ref="L68:L78">IF($B68="E",LOOKUP(C68,$D$9:$L$9,$D$10:$L$10),LOOKUP(C68,$D$9:$L$9,$D$10:$L$10))</f>
        <v>1.502</v>
      </c>
      <c r="M68" s="43">
        <f aca="true" t="shared" si="11" ref="M68:M78">(LEFT(F68,(FIND("'",F68)-1)))+((MID(F68,FIND("-",F68)+1,((FIND("""",F68)-(FIND("-",F68))-1))))/12)</f>
        <v>13.916666666666666</v>
      </c>
    </row>
    <row r="69" spans="1:13" s="16" customFormat="1" ht="15">
      <c r="A69" s="40" t="s">
        <v>158</v>
      </c>
      <c r="B69" s="49" t="s">
        <v>17</v>
      </c>
      <c r="C69" s="44">
        <v>6</v>
      </c>
      <c r="D69" s="44">
        <v>164</v>
      </c>
      <c r="E69" s="44" t="s">
        <v>154</v>
      </c>
      <c r="F69" s="44" t="s">
        <v>164</v>
      </c>
      <c r="G69" s="44" t="s">
        <v>161</v>
      </c>
      <c r="H69" s="23">
        <f t="shared" si="6"/>
        <v>3491.8333333333335</v>
      </c>
      <c r="I69" s="41">
        <f t="shared" si="7"/>
        <v>0</v>
      </c>
      <c r="J69" s="42">
        <f t="shared" si="8"/>
        <v>5244.733666666667</v>
      </c>
      <c r="K69" s="63">
        <f t="shared" si="9"/>
        <v>0</v>
      </c>
      <c r="L69" s="43">
        <f t="shared" si="10"/>
        <v>1.502</v>
      </c>
      <c r="M69" s="43">
        <f t="shared" si="11"/>
        <v>21.291666666666668</v>
      </c>
    </row>
    <row r="70" spans="1:13" s="16" customFormat="1" ht="15">
      <c r="A70" s="40" t="s">
        <v>159</v>
      </c>
      <c r="B70" s="49" t="s">
        <v>17</v>
      </c>
      <c r="C70" s="44">
        <v>6</v>
      </c>
      <c r="D70" s="44">
        <v>136</v>
      </c>
      <c r="E70" s="44" t="s">
        <v>154</v>
      </c>
      <c r="F70" s="44" t="s">
        <v>165</v>
      </c>
      <c r="G70" s="44" t="s">
        <v>161</v>
      </c>
      <c r="H70" s="23">
        <f t="shared" si="6"/>
        <v>1337.3333333333335</v>
      </c>
      <c r="I70" s="41">
        <f t="shared" si="7"/>
        <v>0</v>
      </c>
      <c r="J70" s="42">
        <f t="shared" si="8"/>
        <v>2008.674666666667</v>
      </c>
      <c r="K70" s="63">
        <f t="shared" si="9"/>
        <v>0</v>
      </c>
      <c r="L70" s="43">
        <f t="shared" si="10"/>
        <v>1.502</v>
      </c>
      <c r="M70" s="43">
        <f t="shared" si="11"/>
        <v>9.833333333333334</v>
      </c>
    </row>
    <row r="71" spans="1:13" s="16" customFormat="1" ht="15">
      <c r="A71" s="40" t="s">
        <v>160</v>
      </c>
      <c r="B71" s="49" t="s">
        <v>17</v>
      </c>
      <c r="C71" s="44">
        <v>6</v>
      </c>
      <c r="D71" s="44">
        <v>136</v>
      </c>
      <c r="E71" s="44" t="s">
        <v>154</v>
      </c>
      <c r="F71" s="44" t="s">
        <v>166</v>
      </c>
      <c r="G71" s="44" t="s">
        <v>161</v>
      </c>
      <c r="H71" s="23">
        <f t="shared" si="6"/>
        <v>2419.666666666667</v>
      </c>
      <c r="I71" s="41">
        <f t="shared" si="7"/>
        <v>0</v>
      </c>
      <c r="J71" s="42">
        <f t="shared" si="8"/>
        <v>3634.339333333334</v>
      </c>
      <c r="K71" s="63">
        <f t="shared" si="9"/>
        <v>0</v>
      </c>
      <c r="L71" s="43">
        <f t="shared" si="10"/>
        <v>1.502</v>
      </c>
      <c r="M71" s="43">
        <f t="shared" si="11"/>
        <v>17.791666666666668</v>
      </c>
    </row>
    <row r="72" spans="1:13" s="16" customFormat="1" ht="15">
      <c r="A72" s="40" t="s">
        <v>167</v>
      </c>
      <c r="B72" s="49" t="s">
        <v>17</v>
      </c>
      <c r="C72" s="44">
        <v>5</v>
      </c>
      <c r="D72" s="44">
        <v>136</v>
      </c>
      <c r="E72" s="44" t="s">
        <v>154</v>
      </c>
      <c r="F72" s="44" t="s">
        <v>169</v>
      </c>
      <c r="G72" s="44" t="s">
        <v>168</v>
      </c>
      <c r="H72" s="23">
        <f t="shared" si="6"/>
        <v>1076.6666666666667</v>
      </c>
      <c r="I72" s="41">
        <f t="shared" si="7"/>
        <v>0</v>
      </c>
      <c r="J72" s="42">
        <f t="shared" si="8"/>
        <v>1122.9633333333334</v>
      </c>
      <c r="K72" s="63">
        <f t="shared" si="9"/>
        <v>0</v>
      </c>
      <c r="L72" s="43">
        <f t="shared" si="10"/>
        <v>1.043</v>
      </c>
      <c r="M72" s="43">
        <f t="shared" si="11"/>
        <v>7.916666666666667</v>
      </c>
    </row>
    <row r="73" spans="1:13" s="16" customFormat="1" ht="15">
      <c r="A73" s="40" t="s">
        <v>170</v>
      </c>
      <c r="B73" s="49" t="s">
        <v>17</v>
      </c>
      <c r="C73" s="44">
        <v>5</v>
      </c>
      <c r="D73" s="44">
        <v>8</v>
      </c>
      <c r="E73" s="44"/>
      <c r="F73" s="44" t="s">
        <v>171</v>
      </c>
      <c r="G73" s="44" t="s">
        <v>172</v>
      </c>
      <c r="H73" s="23">
        <f t="shared" si="6"/>
        <v>33.666666666666664</v>
      </c>
      <c r="I73" s="41">
        <f t="shared" si="7"/>
        <v>0</v>
      </c>
      <c r="J73" s="42">
        <f t="shared" si="8"/>
        <v>35.11433333333333</v>
      </c>
      <c r="K73" s="63">
        <f t="shared" si="9"/>
        <v>0</v>
      </c>
      <c r="L73" s="43">
        <f t="shared" si="10"/>
        <v>1.043</v>
      </c>
      <c r="M73" s="43">
        <f t="shared" si="11"/>
        <v>4.208333333333333</v>
      </c>
    </row>
    <row r="74" spans="1:13" s="16" customFormat="1" ht="18" thickBot="1">
      <c r="A74" s="25" t="s">
        <v>173</v>
      </c>
      <c r="B74" s="26"/>
      <c r="C74" s="26"/>
      <c r="D74" s="26"/>
      <c r="E74" s="26"/>
      <c r="F74" s="26"/>
      <c r="G74" s="26"/>
      <c r="H74" s="26"/>
      <c r="I74" s="26"/>
      <c r="J74" s="26"/>
      <c r="K74" s="26"/>
      <c r="L74" s="26"/>
      <c r="M74" s="26"/>
    </row>
    <row r="75" spans="1:13" s="16" customFormat="1" ht="15.75" thickTop="1">
      <c r="A75" s="40" t="s">
        <v>174</v>
      </c>
      <c r="B75" s="49" t="s">
        <v>17</v>
      </c>
      <c r="C75" s="44">
        <v>7</v>
      </c>
      <c r="D75" s="44">
        <v>20</v>
      </c>
      <c r="E75" s="44" t="s">
        <v>176</v>
      </c>
      <c r="F75" s="44" t="s">
        <v>175</v>
      </c>
      <c r="G75" s="44" t="s">
        <v>168</v>
      </c>
      <c r="H75" s="23">
        <f t="shared" si="6"/>
        <v>143.33333333333334</v>
      </c>
      <c r="I75" s="41">
        <f t="shared" si="7"/>
        <v>0</v>
      </c>
      <c r="J75" s="42">
        <f t="shared" si="8"/>
        <v>292.97333333333336</v>
      </c>
      <c r="K75" s="63">
        <f t="shared" si="9"/>
        <v>0</v>
      </c>
      <c r="L75" s="43">
        <f t="shared" si="10"/>
        <v>2.044</v>
      </c>
      <c r="M75" s="43">
        <f t="shared" si="11"/>
        <v>7.166666666666667</v>
      </c>
    </row>
    <row r="76" spans="1:13" s="16" customFormat="1" ht="15">
      <c r="A76" s="40" t="s">
        <v>177</v>
      </c>
      <c r="B76" s="49" t="s">
        <v>17</v>
      </c>
      <c r="C76" s="44">
        <v>8</v>
      </c>
      <c r="D76" s="44">
        <v>36</v>
      </c>
      <c r="E76" s="44" t="s">
        <v>154</v>
      </c>
      <c r="F76" s="44" t="s">
        <v>178</v>
      </c>
      <c r="G76" s="44" t="s">
        <v>117</v>
      </c>
      <c r="H76" s="23">
        <f t="shared" si="6"/>
        <v>771</v>
      </c>
      <c r="I76" s="41">
        <f t="shared" si="7"/>
        <v>0</v>
      </c>
      <c r="J76" s="42">
        <f t="shared" si="8"/>
        <v>2058.57</v>
      </c>
      <c r="K76" s="63">
        <f t="shared" si="9"/>
        <v>0</v>
      </c>
      <c r="L76" s="43">
        <f t="shared" si="10"/>
        <v>2.67</v>
      </c>
      <c r="M76" s="43">
        <f t="shared" si="11"/>
        <v>21.416666666666668</v>
      </c>
    </row>
    <row r="77" spans="1:13" s="16" customFormat="1" ht="15">
      <c r="A77" s="40" t="s">
        <v>179</v>
      </c>
      <c r="B77" s="49" t="s">
        <v>17</v>
      </c>
      <c r="C77" s="44">
        <v>5</v>
      </c>
      <c r="D77" s="44">
        <v>16</v>
      </c>
      <c r="E77" s="44" t="s">
        <v>176</v>
      </c>
      <c r="F77" s="44" t="s">
        <v>178</v>
      </c>
      <c r="G77" s="44" t="s">
        <v>117</v>
      </c>
      <c r="H77" s="23">
        <f t="shared" si="6"/>
        <v>342.6666666666667</v>
      </c>
      <c r="I77" s="41">
        <f t="shared" si="7"/>
        <v>0</v>
      </c>
      <c r="J77" s="42">
        <f t="shared" si="8"/>
        <v>357.40133333333335</v>
      </c>
      <c r="K77" s="63">
        <f t="shared" si="9"/>
        <v>0</v>
      </c>
      <c r="L77" s="43">
        <f t="shared" si="10"/>
        <v>1.043</v>
      </c>
      <c r="M77" s="43">
        <f t="shared" si="11"/>
        <v>21.416666666666668</v>
      </c>
    </row>
    <row r="78" spans="1:13" s="16" customFormat="1" ht="15">
      <c r="A78" s="40" t="s">
        <v>181</v>
      </c>
      <c r="B78" s="49" t="s">
        <v>17</v>
      </c>
      <c r="C78" s="44">
        <v>4</v>
      </c>
      <c r="D78" s="44">
        <v>30</v>
      </c>
      <c r="E78" s="44" t="s">
        <v>154</v>
      </c>
      <c r="F78" s="44" t="s">
        <v>180</v>
      </c>
      <c r="G78" s="44" t="s">
        <v>161</v>
      </c>
      <c r="H78" s="23">
        <f t="shared" si="6"/>
        <v>292.5</v>
      </c>
      <c r="I78" s="41">
        <f t="shared" si="7"/>
        <v>0</v>
      </c>
      <c r="J78" s="42">
        <f t="shared" si="8"/>
        <v>195.39000000000001</v>
      </c>
      <c r="K78" s="63">
        <f t="shared" si="9"/>
        <v>0</v>
      </c>
      <c r="L78" s="43">
        <f t="shared" si="10"/>
        <v>0.668</v>
      </c>
      <c r="M78" s="43">
        <f t="shared" si="11"/>
        <v>9.75</v>
      </c>
    </row>
    <row r="79" spans="1:13" s="16" customFormat="1" ht="15">
      <c r="A79" s="40" t="s">
        <v>184</v>
      </c>
      <c r="B79" s="49" t="s">
        <v>17</v>
      </c>
      <c r="C79" s="44">
        <v>9</v>
      </c>
      <c r="D79" s="44">
        <v>8</v>
      </c>
      <c r="E79" s="44"/>
      <c r="F79" s="44" t="s">
        <v>178</v>
      </c>
      <c r="G79" s="44" t="s">
        <v>117</v>
      </c>
      <c r="H79" s="23">
        <f t="shared" si="6"/>
        <v>171.33333333333334</v>
      </c>
      <c r="I79" s="41">
        <f t="shared" si="7"/>
        <v>0</v>
      </c>
      <c r="J79" s="42">
        <f t="shared" si="8"/>
        <v>582.5333333333333</v>
      </c>
      <c r="K79" s="63">
        <f t="shared" si="9"/>
        <v>0</v>
      </c>
      <c r="L79" s="43">
        <f>IF($B79="E",LOOKUP(C79,$D$9:$L$9,$D$10:$L$10),LOOKUP(C79,$D$9:$L$9,$D$10:$L$10))</f>
        <v>3.4</v>
      </c>
      <c r="M79" s="43">
        <f>(LEFT(F79,(FIND("'",F79)-1)))+((MID(F79,FIND("-",F79)+1,((FIND("""",F79)-(FIND("-",F79))-1))))/12)</f>
        <v>21.416666666666668</v>
      </c>
    </row>
    <row r="80" spans="1:13" s="16" customFormat="1" ht="15">
      <c r="A80" s="40" t="s">
        <v>182</v>
      </c>
      <c r="B80" s="49" t="s">
        <v>17</v>
      </c>
      <c r="C80" s="44">
        <v>5</v>
      </c>
      <c r="D80" s="44">
        <v>52</v>
      </c>
      <c r="E80" s="44" t="s">
        <v>176</v>
      </c>
      <c r="F80" s="44" t="s">
        <v>133</v>
      </c>
      <c r="G80" s="44" t="s">
        <v>33</v>
      </c>
      <c r="H80" s="23">
        <f t="shared" si="6"/>
        <v>121.33333333333334</v>
      </c>
      <c r="I80" s="41">
        <f t="shared" si="7"/>
        <v>0</v>
      </c>
      <c r="J80" s="42">
        <f t="shared" si="8"/>
        <v>126.55066666666667</v>
      </c>
      <c r="K80" s="63">
        <f t="shared" si="9"/>
        <v>0</v>
      </c>
      <c r="L80" s="43">
        <f>IF($B80="E",LOOKUP(C80,$D$9:$L$9,$D$10:$L$10),LOOKUP(C80,$D$9:$L$9,$D$10:$L$10))</f>
        <v>1.043</v>
      </c>
      <c r="M80" s="43">
        <f>(LEFT(F80,(FIND("'",F80)-1)))+((MID(F80,FIND("-",F80)+1,((FIND("""",F80)-(FIND("-",F80))-1))))/12)</f>
        <v>2.3333333333333335</v>
      </c>
    </row>
    <row r="81" spans="1:13" s="16" customFormat="1" ht="18" thickBot="1">
      <c r="A81" s="25" t="s">
        <v>183</v>
      </c>
      <c r="B81" s="26"/>
      <c r="C81" s="26"/>
      <c r="D81" s="26"/>
      <c r="E81" s="26"/>
      <c r="F81" s="26"/>
      <c r="G81" s="26"/>
      <c r="H81" s="26"/>
      <c r="I81" s="26"/>
      <c r="J81" s="26"/>
      <c r="K81" s="26"/>
      <c r="L81" s="26"/>
      <c r="M81" s="26"/>
    </row>
    <row r="82" spans="1:13" s="16" customFormat="1" ht="15.75" thickTop="1">
      <c r="A82" s="40" t="s">
        <v>161</v>
      </c>
      <c r="B82" s="49" t="s">
        <v>17</v>
      </c>
      <c r="C82" s="44">
        <v>5</v>
      </c>
      <c r="D82" s="44">
        <v>640</v>
      </c>
      <c r="E82" s="44" t="s">
        <v>115</v>
      </c>
      <c r="F82" s="44" t="s">
        <v>185</v>
      </c>
      <c r="G82" s="44" t="s">
        <v>161</v>
      </c>
      <c r="H82" s="23">
        <f aca="true" t="shared" si="12" ref="H82:H88">IF($B82="E",$D82*$M82,0)</f>
        <v>11733.333333333332</v>
      </c>
      <c r="I82" s="41">
        <f aca="true" t="shared" si="13" ref="I82:I88">IF($B82="E",0,$D82*$M82)</f>
        <v>0</v>
      </c>
      <c r="J82" s="42">
        <f aca="true" t="shared" si="14" ref="J82:J88">$H82*$L82</f>
        <v>12237.866666666665</v>
      </c>
      <c r="K82" s="63">
        <f aca="true" t="shared" si="15" ref="K82:K88">$I82*$L82</f>
        <v>0</v>
      </c>
      <c r="L82" s="43">
        <f>IF($B82="E",LOOKUP(C82,$D$9:$L$9,$D$10:$L$10),LOOKUP(C82,$D$9:$L$9,$D$10:$L$10))</f>
        <v>1.043</v>
      </c>
      <c r="M82" s="43">
        <f>(LEFT(F82,(FIND("'",F82)-1)))+((MID(F82,FIND("-",F82)+1,((FIND("""",F82)-(FIND("-",F82))-1))))/12)</f>
        <v>18.333333333333332</v>
      </c>
    </row>
    <row r="83" spans="1:13" s="16" customFormat="1" ht="15">
      <c r="A83" s="40" t="s">
        <v>148</v>
      </c>
      <c r="B83" s="49" t="s">
        <v>17</v>
      </c>
      <c r="C83" s="44">
        <v>7</v>
      </c>
      <c r="D83" s="44">
        <v>510</v>
      </c>
      <c r="E83" s="44"/>
      <c r="F83" s="44" t="s">
        <v>186</v>
      </c>
      <c r="G83" s="44" t="s">
        <v>117</v>
      </c>
      <c r="H83" s="23">
        <f t="shared" si="12"/>
        <v>2550</v>
      </c>
      <c r="I83" s="41">
        <f t="shared" si="13"/>
        <v>0</v>
      </c>
      <c r="J83" s="42">
        <f t="shared" si="14"/>
        <v>5212.2</v>
      </c>
      <c r="K83" s="63">
        <f t="shared" si="15"/>
        <v>0</v>
      </c>
      <c r="L83" s="43">
        <f aca="true" t="shared" si="16" ref="L83:L88">IF($B83="E",LOOKUP(C83,$D$9:$L$9,$D$10:$L$10),LOOKUP(C83,$D$9:$L$9,$D$10:$L$10))</f>
        <v>2.044</v>
      </c>
      <c r="M83" s="43">
        <f aca="true" t="shared" si="17" ref="M83:M88">(LEFT(F83,(FIND("'",F83)-1)))+((MID(F83,FIND("-",F83)+1,((FIND("""",F83)-(FIND("-",F83))-1))))/12)</f>
        <v>5</v>
      </c>
    </row>
    <row r="84" spans="1:13" s="16" customFormat="1" ht="15">
      <c r="A84" s="40" t="s">
        <v>187</v>
      </c>
      <c r="B84" s="49" t="s">
        <v>17</v>
      </c>
      <c r="C84" s="44">
        <v>5</v>
      </c>
      <c r="D84" s="44">
        <v>10</v>
      </c>
      <c r="E84" s="44"/>
      <c r="F84" s="44" t="s">
        <v>188</v>
      </c>
      <c r="G84" s="44" t="s">
        <v>117</v>
      </c>
      <c r="H84" s="23">
        <f t="shared" si="12"/>
        <v>1330</v>
      </c>
      <c r="I84" s="41">
        <f t="shared" si="13"/>
        <v>0</v>
      </c>
      <c r="J84" s="42">
        <f t="shared" si="14"/>
        <v>1387.1899999999998</v>
      </c>
      <c r="K84" s="63">
        <f t="shared" si="15"/>
        <v>0</v>
      </c>
      <c r="L84" s="43">
        <f t="shared" si="16"/>
        <v>1.043</v>
      </c>
      <c r="M84" s="43">
        <f t="shared" si="17"/>
        <v>133</v>
      </c>
    </row>
    <row r="85" spans="1:13" s="16" customFormat="1" ht="15">
      <c r="A85" s="40" t="s">
        <v>189</v>
      </c>
      <c r="B85" s="49" t="s">
        <v>17</v>
      </c>
      <c r="C85" s="44">
        <v>6</v>
      </c>
      <c r="D85" s="44">
        <v>160</v>
      </c>
      <c r="E85" s="44"/>
      <c r="F85" s="44" t="s">
        <v>156</v>
      </c>
      <c r="G85" s="44" t="s">
        <v>117</v>
      </c>
      <c r="H85" s="23">
        <f t="shared" si="12"/>
        <v>600</v>
      </c>
      <c r="I85" s="41">
        <f t="shared" si="13"/>
        <v>0</v>
      </c>
      <c r="J85" s="42">
        <f t="shared" si="14"/>
        <v>901.2</v>
      </c>
      <c r="K85" s="63">
        <f t="shared" si="15"/>
        <v>0</v>
      </c>
      <c r="L85" s="43">
        <f t="shared" si="16"/>
        <v>1.502</v>
      </c>
      <c r="M85" s="43">
        <f t="shared" si="17"/>
        <v>3.75</v>
      </c>
    </row>
    <row r="86" spans="1:13" s="16" customFormat="1" ht="15">
      <c r="A86" s="40" t="s">
        <v>190</v>
      </c>
      <c r="B86" s="49" t="s">
        <v>17</v>
      </c>
      <c r="C86" s="44">
        <v>6</v>
      </c>
      <c r="D86" s="44">
        <v>800</v>
      </c>
      <c r="E86" s="44"/>
      <c r="F86" s="44" t="s">
        <v>155</v>
      </c>
      <c r="G86" s="44" t="s">
        <v>117</v>
      </c>
      <c r="H86" s="23">
        <f t="shared" si="12"/>
        <v>5400</v>
      </c>
      <c r="I86" s="41">
        <f t="shared" si="13"/>
        <v>0</v>
      </c>
      <c r="J86" s="42">
        <f t="shared" si="14"/>
        <v>8110.8</v>
      </c>
      <c r="K86" s="63">
        <f t="shared" si="15"/>
        <v>0</v>
      </c>
      <c r="L86" s="43">
        <f t="shared" si="16"/>
        <v>1.502</v>
      </c>
      <c r="M86" s="43">
        <f t="shared" si="17"/>
        <v>6.75</v>
      </c>
    </row>
    <row r="87" spans="1:13" s="16" customFormat="1" ht="15">
      <c r="A87" s="40" t="s">
        <v>191</v>
      </c>
      <c r="B87" s="49" t="s">
        <v>17</v>
      </c>
      <c r="C87" s="44">
        <v>6</v>
      </c>
      <c r="D87" s="44">
        <v>160</v>
      </c>
      <c r="E87" s="44"/>
      <c r="F87" s="44" t="s">
        <v>192</v>
      </c>
      <c r="G87" s="44" t="s">
        <v>117</v>
      </c>
      <c r="H87" s="23">
        <f t="shared" si="12"/>
        <v>813.3333333333333</v>
      </c>
      <c r="I87" s="41">
        <f t="shared" si="13"/>
        <v>0</v>
      </c>
      <c r="J87" s="42">
        <f t="shared" si="14"/>
        <v>1221.6266666666666</v>
      </c>
      <c r="K87" s="63">
        <f t="shared" si="15"/>
        <v>0</v>
      </c>
      <c r="L87" s="43">
        <f t="shared" si="16"/>
        <v>1.502</v>
      </c>
      <c r="M87" s="43">
        <f t="shared" si="17"/>
        <v>5.083333333333333</v>
      </c>
    </row>
    <row r="88" spans="1:13" s="16" customFormat="1" ht="15">
      <c r="A88" s="40" t="s">
        <v>170</v>
      </c>
      <c r="B88" s="49" t="s">
        <v>17</v>
      </c>
      <c r="C88" s="44">
        <v>5</v>
      </c>
      <c r="D88" s="44">
        <v>10</v>
      </c>
      <c r="E88" s="44"/>
      <c r="F88" s="44" t="s">
        <v>171</v>
      </c>
      <c r="G88" s="44" t="s">
        <v>172</v>
      </c>
      <c r="H88" s="23">
        <f t="shared" si="12"/>
        <v>42.08333333333333</v>
      </c>
      <c r="I88" s="41">
        <f t="shared" si="13"/>
        <v>0</v>
      </c>
      <c r="J88" s="42">
        <f t="shared" si="14"/>
        <v>43.89291666666666</v>
      </c>
      <c r="K88" s="63">
        <f t="shared" si="15"/>
        <v>0</v>
      </c>
      <c r="L88" s="43">
        <f t="shared" si="16"/>
        <v>1.043</v>
      </c>
      <c r="M88" s="43">
        <f t="shared" si="17"/>
        <v>4.208333333333333</v>
      </c>
    </row>
    <row r="89" spans="3:16" s="5" customFormat="1" ht="12">
      <c r="C89" s="15"/>
      <c r="D89" s="15"/>
      <c r="F89" s="14"/>
      <c r="G89" s="15"/>
      <c r="H89" s="13"/>
      <c r="I89" s="13"/>
      <c r="J89" s="14"/>
      <c r="K89" s="16"/>
      <c r="L89" s="17"/>
      <c r="M89" s="18"/>
      <c r="N89" s="18"/>
      <c r="O89" s="19"/>
      <c r="P89" s="20"/>
    </row>
    <row r="90" spans="3:16" s="5" customFormat="1" ht="12">
      <c r="C90" s="15"/>
      <c r="D90" s="15"/>
      <c r="F90" s="14"/>
      <c r="G90" s="15"/>
      <c r="H90" s="13"/>
      <c r="I90" s="13"/>
      <c r="J90" s="14"/>
      <c r="K90" s="16"/>
      <c r="L90" s="17"/>
      <c r="M90" s="18"/>
      <c r="N90" s="18"/>
      <c r="O90" s="19"/>
      <c r="P90" s="20"/>
    </row>
    <row r="91" spans="3:16" s="5" customFormat="1" ht="12.75">
      <c r="C91" s="15"/>
      <c r="D91" s="15"/>
      <c r="F91" s="14"/>
      <c r="G91" s="15"/>
      <c r="H91" s="13"/>
      <c r="I91" s="13"/>
      <c r="J91" s="14"/>
      <c r="K91" s="16"/>
      <c r="L91" s="21"/>
      <c r="M91" s="18"/>
      <c r="N91" s="18"/>
      <c r="O91" s="19"/>
      <c r="P91" s="20"/>
    </row>
    <row r="92" spans="5:13" ht="18" thickBot="1">
      <c r="E92" s="68" t="s">
        <v>80</v>
      </c>
      <c r="F92" s="68"/>
      <c r="G92" s="68"/>
      <c r="H92" s="68"/>
      <c r="I92" s="68"/>
      <c r="J92" s="68"/>
      <c r="K92" s="68"/>
      <c r="L92" s="26"/>
      <c r="M92" s="26"/>
    </row>
    <row r="93" spans="5:13" ht="18.75" thickBot="1" thickTop="1">
      <c r="E93" s="71" t="s">
        <v>106</v>
      </c>
      <c r="F93" s="71"/>
      <c r="G93" s="71"/>
      <c r="H93" s="57"/>
      <c r="I93" s="71" t="s">
        <v>101</v>
      </c>
      <c r="J93" s="71"/>
      <c r="K93" s="71"/>
      <c r="L93" s="56"/>
      <c r="M93" s="26"/>
    </row>
    <row r="94" spans="5:11" ht="13.5" thickTop="1">
      <c r="E94" s="51" t="s">
        <v>73</v>
      </c>
      <c r="F94" s="58" t="s">
        <v>71</v>
      </c>
      <c r="G94" s="61" t="s">
        <v>73</v>
      </c>
      <c r="H94" s="52"/>
      <c r="I94" s="51" t="s">
        <v>73</v>
      </c>
      <c r="J94" s="61" t="s">
        <v>71</v>
      </c>
      <c r="K94" s="53" t="s">
        <v>73</v>
      </c>
    </row>
    <row r="95" spans="5:11" ht="12.75">
      <c r="E95" s="51" t="s">
        <v>77</v>
      </c>
      <c r="F95" s="51" t="s">
        <v>74</v>
      </c>
      <c r="G95" s="60" t="s">
        <v>79</v>
      </c>
      <c r="H95" s="52"/>
      <c r="I95" s="51" t="s">
        <v>77</v>
      </c>
      <c r="J95" s="51" t="s">
        <v>74</v>
      </c>
      <c r="K95" s="60" t="s">
        <v>79</v>
      </c>
    </row>
    <row r="96" spans="5:11" s="26" customFormat="1" ht="15">
      <c r="E96" s="54">
        <f>SUMIF($C$23:$C$91,"=3",$H$23:$H$91)</f>
        <v>0</v>
      </c>
      <c r="F96" s="59" t="s">
        <v>102</v>
      </c>
      <c r="G96" s="55">
        <f>SUMIF($C$23:$C$91,"=3",$J$23:$J$91)</f>
        <v>0</v>
      </c>
      <c r="H96" s="56"/>
      <c r="I96" s="54">
        <f>SUMIF($C$23:$C$91,"=3",$I$23:$I$91)</f>
        <v>0</v>
      </c>
      <c r="J96" s="59" t="s">
        <v>102</v>
      </c>
      <c r="K96" s="55">
        <f>SUMIF($C$23:$C$91,"=3",$K$23:$K$91)</f>
        <v>0</v>
      </c>
    </row>
    <row r="97" spans="5:11" ht="15">
      <c r="E97" s="54">
        <f>SUMIF($C$23:$C$91,"=4",$H$23:$H$91)</f>
        <v>380063.1666666667</v>
      </c>
      <c r="F97" s="52" t="s">
        <v>81</v>
      </c>
      <c r="G97" s="55">
        <f>SUMIF($C$23:$C$91,"=4",$J$23:$J$91)</f>
        <v>253882.1953333334</v>
      </c>
      <c r="H97" s="56"/>
      <c r="I97" s="54">
        <f>SUMIF($C$23:$C$91,"=4",$I$23:$I$91)</f>
        <v>0</v>
      </c>
      <c r="J97" s="52" t="s">
        <v>81</v>
      </c>
      <c r="K97" s="55">
        <f>SUMIF($C$23:$C$91,"=4",$K$23:$K$91)</f>
        <v>0</v>
      </c>
    </row>
    <row r="98" spans="5:11" ht="15">
      <c r="E98" s="54">
        <f>SUMIF($C$23:$C$91,"=5",$H$23:$H$91)</f>
        <v>357783.4583333333</v>
      </c>
      <c r="F98" s="52" t="s">
        <v>82</v>
      </c>
      <c r="G98" s="55">
        <f>SUMIF($C$23:$C$91,"=5",$J$23:$J$91)</f>
        <v>373168.1470416666</v>
      </c>
      <c r="H98" s="56"/>
      <c r="I98" s="54">
        <f>SUMIF($C$23:$C$91,"=5",$I$23:$I$91)</f>
        <v>0</v>
      </c>
      <c r="J98" s="52" t="s">
        <v>82</v>
      </c>
      <c r="K98" s="55">
        <f>SUMIF($C$23:$C$91,"=5",$K$23:$K$91)</f>
        <v>0</v>
      </c>
    </row>
    <row r="99" spans="5:11" ht="15">
      <c r="E99" s="54">
        <f>SUMIF($C$23:$C$91,"=6",$H$23:$H$91)</f>
        <v>23050.333333333336</v>
      </c>
      <c r="F99" s="52" t="s">
        <v>83</v>
      </c>
      <c r="G99" s="55">
        <f>SUMIF($C$23:$C$91,"=6",$J$23:$J$91)</f>
        <v>34621.600666666665</v>
      </c>
      <c r="H99" s="56"/>
      <c r="I99" s="54">
        <f>SUMIF($C$23:$C$91,"=6",$I$23:$I$91)</f>
        <v>0</v>
      </c>
      <c r="J99" s="52" t="s">
        <v>83</v>
      </c>
      <c r="K99" s="55">
        <f>SUMIF($C$23:$C$91,"=6",$K$23:$K$91)</f>
        <v>0</v>
      </c>
    </row>
    <row r="100" spans="5:11" ht="15">
      <c r="E100" s="54">
        <f>SUMIF($C$23:$C$91,"=7",$H$23:$H$91)</f>
        <v>2693.3333333333335</v>
      </c>
      <c r="F100" s="52" t="s">
        <v>84</v>
      </c>
      <c r="G100" s="55">
        <f>SUMIF($C$23:$C$91,"=7",$J$23:$J$91)</f>
        <v>5505.173333333333</v>
      </c>
      <c r="H100" s="56"/>
      <c r="I100" s="54">
        <f>SUMIF($C$23:$C$91,"=7",$I$23:$I$91)</f>
        <v>0</v>
      </c>
      <c r="J100" s="52" t="s">
        <v>84</v>
      </c>
      <c r="K100" s="55">
        <f>SUMIF($C$23:$C$91,"=7",$K$23:$K$91)</f>
        <v>0</v>
      </c>
    </row>
    <row r="101" spans="5:11" ht="15">
      <c r="E101" s="54">
        <f>SUMIF($C$23:$C$91,"=8",$H$23:$H$91)</f>
        <v>1485</v>
      </c>
      <c r="F101" s="52" t="s">
        <v>85</v>
      </c>
      <c r="G101" s="55">
        <f>SUMIF($C$23:$C$91,"=8",$J$23:$J$91)</f>
        <v>3964.95</v>
      </c>
      <c r="H101" s="56"/>
      <c r="I101" s="54">
        <f>SUMIF($C$23:$C$91,"=8",$I$23:$I$91)</f>
        <v>0</v>
      </c>
      <c r="J101" s="52" t="s">
        <v>85</v>
      </c>
      <c r="K101" s="55">
        <f>SUMIF($C$23:$C$91,"=8",$K$23:$K$91)</f>
        <v>0</v>
      </c>
    </row>
    <row r="102" spans="5:11" ht="15">
      <c r="E102" s="54">
        <f>SUMIF($C$23:$C$91,"=9",$H$23:$H$91)</f>
        <v>81381.33333333333</v>
      </c>
      <c r="F102" s="52" t="s">
        <v>86</v>
      </c>
      <c r="G102" s="55">
        <f>SUMIF($C$23:$C$91,"=9",$J$23:$J$91)</f>
        <v>276696.5333333333</v>
      </c>
      <c r="H102" s="56"/>
      <c r="I102" s="54">
        <f>SUMIF($C$23:$C$91,"=9",$I$23:$I$91)</f>
        <v>0</v>
      </c>
      <c r="J102" s="52" t="s">
        <v>86</v>
      </c>
      <c r="K102" s="55">
        <f>SUMIF($C$23:$C$91,"=9",$K$23:$K$91)</f>
        <v>0</v>
      </c>
    </row>
    <row r="103" spans="5:11" ht="15">
      <c r="E103" s="54">
        <f>SUMIF($C$23:$C$91,"=10",$H$23:$H$91)</f>
        <v>0</v>
      </c>
      <c r="F103" s="52" t="s">
        <v>87</v>
      </c>
      <c r="G103" s="55">
        <f>SUMIF($C$23:$C$91,"=10",$J$23:$J$91)</f>
        <v>0</v>
      </c>
      <c r="H103" s="56"/>
      <c r="I103" s="54">
        <f>SUMIF($C$23:$C$91,"=10",$I$23:$I$91)</f>
        <v>0</v>
      </c>
      <c r="J103" s="52" t="s">
        <v>87</v>
      </c>
      <c r="K103" s="55">
        <f>SUMIF($C$23:$C$91,"=10",$K$23:$K$91)</f>
        <v>0</v>
      </c>
    </row>
    <row r="104" spans="5:11" ht="15">
      <c r="E104" s="54">
        <f>SUMIF($C$23:$C$91,"=11",$H$23:$H$91)</f>
        <v>0</v>
      </c>
      <c r="F104" s="52" t="s">
        <v>88</v>
      </c>
      <c r="G104" s="55">
        <f>SUMIF($C$23:$C$91,"=11",$J$23:$J$91)</f>
        <v>0</v>
      </c>
      <c r="H104" s="56"/>
      <c r="I104" s="54">
        <f>SUMIF($C$23:$C$91,"=11",$I$23:$I$91)</f>
        <v>0</v>
      </c>
      <c r="J104" s="52" t="s">
        <v>88</v>
      </c>
      <c r="K104" s="55">
        <f>SUMIF($C$23:$C$91,"=11",$K$23:$K$91)</f>
        <v>0</v>
      </c>
    </row>
    <row r="105" spans="5:11" ht="15">
      <c r="E105" s="69" t="s">
        <v>108</v>
      </c>
      <c r="F105" s="70"/>
      <c r="G105" s="62">
        <f>SUM(G96:G104)</f>
        <v>947838.5997083333</v>
      </c>
      <c r="H105" s="56"/>
      <c r="I105" s="69" t="s">
        <v>104</v>
      </c>
      <c r="J105" s="70"/>
      <c r="K105" s="62">
        <f>SUM(K96:K104)</f>
        <v>0</v>
      </c>
    </row>
    <row r="106" ht="12.75">
      <c r="H106" s="56"/>
    </row>
    <row r="108" ht="12.75">
      <c r="A108" s="12"/>
    </row>
  </sheetData>
  <sheetProtection/>
  <mergeCells count="12">
    <mergeCell ref="G1:I1"/>
    <mergeCell ref="A17:D17"/>
    <mergeCell ref="E105:F105"/>
    <mergeCell ref="I105:J105"/>
    <mergeCell ref="I93:K93"/>
    <mergeCell ref="E92:K92"/>
    <mergeCell ref="E93:G93"/>
    <mergeCell ref="B1:E1"/>
    <mergeCell ref="B2:E2"/>
    <mergeCell ref="B3:E3"/>
    <mergeCell ref="B4:E4"/>
    <mergeCell ref="B5:E5"/>
  </mergeCells>
  <dataValidations count="2">
    <dataValidation type="list" allowBlank="1" showInputMessage="1" showErrorMessage="1" sqref="B23:B88">
      <formula1>"E, N"</formula1>
    </dataValidation>
    <dataValidation type="list" allowBlank="1" showInputMessage="1" showErrorMessage="1" sqref="C23:C88">
      <formula1>"3, 4, 5, 6, 7, 8, 9, 10, 11"</formula1>
    </dataValidation>
  </dataValidations>
  <printOptions gridLines="1"/>
  <pageMargins left="0.25" right="0.25" top="0.5" bottom="0.5" header="0.25" footer="0.25"/>
  <pageSetup fitToHeight="0" fitToWidth="1" horizontalDpi="600" verticalDpi="600" orientation="landscape" scale="80" r:id="rId2"/>
  <headerFooter alignWithMargins="0">
    <oddHeader>&amp;C&amp;A&amp;R&amp;D</oddHeader>
    <oddFooter>&amp;CPage &amp;P of &amp;N</oddFooter>
  </headerFooter>
  <rowBreaks count="1" manualBreakCount="1">
    <brk id="90" max="255" man="1"/>
  </rowBreaks>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P61"/>
  <sheetViews>
    <sheetView zoomScalePageLayoutView="0" workbookViewId="0" topLeftCell="A1">
      <selection activeCell="M3" sqref="M3"/>
    </sheetView>
  </sheetViews>
  <sheetFormatPr defaultColWidth="10.28125" defaultRowHeight="12.75"/>
  <cols>
    <col min="1" max="1" width="43.8515625" style="26" bestFit="1" customWidth="1"/>
    <col min="2" max="2" width="2.421875" style="26" customWidth="1"/>
    <col min="3" max="3" width="4.7109375" style="26" bestFit="1" customWidth="1"/>
    <col min="4" max="4" width="6.57421875" style="26" bestFit="1" customWidth="1"/>
    <col min="5" max="5" width="8.57421875" style="26" bestFit="1" customWidth="1"/>
    <col min="6" max="6" width="8.7109375" style="26" bestFit="1" customWidth="1"/>
    <col min="7" max="7" width="10.140625" style="26" customWidth="1"/>
    <col min="8" max="8" width="12.00390625" style="26" bestFit="1" customWidth="1"/>
    <col min="9" max="9" width="10.28125" style="26" bestFit="1" customWidth="1"/>
    <col min="10" max="10" width="9.28125" style="26" bestFit="1" customWidth="1"/>
    <col min="11" max="11" width="8.7109375" style="26" bestFit="1" customWidth="1"/>
    <col min="12" max="12" width="7.00390625" style="26" bestFit="1" customWidth="1"/>
    <col min="13" max="13" width="8.57421875" style="26" bestFit="1" customWidth="1"/>
    <col min="14" max="14" width="6.8515625" style="26" bestFit="1" customWidth="1"/>
    <col min="15" max="16" width="10.140625" style="26" customWidth="1"/>
    <col min="17" max="16384" width="10.28125" style="26" customWidth="1"/>
  </cols>
  <sheetData>
    <row r="1" spans="1:9" ht="15.75">
      <c r="A1" s="38" t="str">
        <f>'Reinf S.S.'!A1</f>
        <v>Created By:</v>
      </c>
      <c r="B1" s="72" t="str">
        <f>'Reinf S.S.'!B1:E1</f>
        <v>XXXXXXXXX</v>
      </c>
      <c r="C1" s="73"/>
      <c r="D1" s="73"/>
      <c r="E1" s="73"/>
      <c r="F1" s="16"/>
      <c r="G1" s="67" t="s">
        <v>105</v>
      </c>
      <c r="H1" s="67"/>
      <c r="I1" s="67"/>
    </row>
    <row r="2" spans="1:9" ht="15">
      <c r="A2" s="38" t="str">
        <f>'Reinf S.S.'!A2</f>
        <v>Date Created:</v>
      </c>
      <c r="B2" s="74" t="str">
        <f>'Reinf S.S.'!B2:E2</f>
        <v>MM/DD/YYYY</v>
      </c>
      <c r="C2" s="73"/>
      <c r="D2" s="73"/>
      <c r="E2" s="73"/>
      <c r="F2" s="16"/>
      <c r="G2" s="28" t="s">
        <v>89</v>
      </c>
      <c r="H2" s="29" t="s">
        <v>93</v>
      </c>
      <c r="I2" s="30" t="s">
        <v>96</v>
      </c>
    </row>
    <row r="3" spans="1:9" ht="20.25" thickBot="1">
      <c r="A3" s="38" t="str">
        <f>'Reinf S.S.'!A3</f>
        <v>Project #</v>
      </c>
      <c r="B3" s="72" t="str">
        <f>'Reinf S.S.'!B3:E3</f>
        <v>XXXXXXXXX</v>
      </c>
      <c r="C3" s="72"/>
      <c r="D3" s="72"/>
      <c r="E3" s="72"/>
      <c r="F3" s="16"/>
      <c r="G3" s="31" t="s">
        <v>90</v>
      </c>
      <c r="H3" s="27" t="s">
        <v>94</v>
      </c>
      <c r="I3" s="32" t="s">
        <v>97</v>
      </c>
    </row>
    <row r="4" spans="1:9" ht="18.75" thickBot="1" thickTop="1">
      <c r="A4" s="38" t="str">
        <f>'Reinf S.S.'!A4</f>
        <v>Sub Account #</v>
      </c>
      <c r="B4" s="75" t="str">
        <f>'Reinf S.S.'!B4:E4</f>
        <v>XXXXX</v>
      </c>
      <c r="C4" s="75"/>
      <c r="D4" s="75"/>
      <c r="E4" s="75"/>
      <c r="F4" s="16"/>
      <c r="G4" s="33" t="s">
        <v>91</v>
      </c>
      <c r="H4" s="34" t="s">
        <v>95</v>
      </c>
      <c r="I4" s="35" t="s">
        <v>98</v>
      </c>
    </row>
    <row r="5" spans="1:9" ht="15.75" thickTop="1">
      <c r="A5" s="38" t="str">
        <f>'Reinf S.S.'!A5</f>
        <v>Structure #</v>
      </c>
      <c r="B5" s="72" t="str">
        <f>'Reinf S.S.'!B5:E5</f>
        <v>X-XX-XX</v>
      </c>
      <c r="C5" s="72"/>
      <c r="D5" s="72"/>
      <c r="E5" s="72"/>
      <c r="F5" s="16"/>
      <c r="G5" s="36" t="s">
        <v>92</v>
      </c>
      <c r="H5" s="37" t="s">
        <v>73</v>
      </c>
      <c r="I5" s="64" t="s">
        <v>111</v>
      </c>
    </row>
    <row r="6" spans="5:6" ht="12.75">
      <c r="E6" s="8"/>
      <c r="F6" s="10"/>
    </row>
    <row r="7" spans="5:6" ht="12.75">
      <c r="E7" s="8"/>
      <c r="F7" s="10"/>
    </row>
    <row r="8" spans="1:6" ht="12.75">
      <c r="A8" s="7"/>
      <c r="B8" s="16"/>
      <c r="C8" s="8"/>
      <c r="D8" s="10"/>
      <c r="E8" s="8"/>
      <c r="F8" s="10"/>
    </row>
    <row r="9" spans="1:14" ht="12.75" hidden="1">
      <c r="A9" s="9"/>
      <c r="B9" s="16"/>
      <c r="C9" s="50" t="s">
        <v>110</v>
      </c>
      <c r="D9" s="47">
        <v>3</v>
      </c>
      <c r="E9" s="47">
        <v>4</v>
      </c>
      <c r="F9" s="47">
        <v>5</v>
      </c>
      <c r="G9" s="47">
        <v>6</v>
      </c>
      <c r="H9" s="47">
        <v>7</v>
      </c>
      <c r="I9" s="47">
        <v>8</v>
      </c>
      <c r="J9" s="47">
        <v>9</v>
      </c>
      <c r="K9" s="47">
        <v>10</v>
      </c>
      <c r="L9" s="47">
        <v>11</v>
      </c>
      <c r="M9" s="16"/>
      <c r="N9" s="10"/>
    </row>
    <row r="10" spans="1:14" ht="12.75" hidden="1">
      <c r="A10" s="3"/>
      <c r="B10" s="16"/>
      <c r="C10" s="50" t="s">
        <v>109</v>
      </c>
      <c r="D10" s="48">
        <v>0.376</v>
      </c>
      <c r="E10" s="48">
        <v>0.668</v>
      </c>
      <c r="F10" s="48">
        <v>1.043</v>
      </c>
      <c r="G10" s="48">
        <v>1.502</v>
      </c>
      <c r="H10" s="48">
        <v>2.044</v>
      </c>
      <c r="I10" s="48">
        <v>2.67</v>
      </c>
      <c r="J10" s="48">
        <v>3.4</v>
      </c>
      <c r="K10" s="48">
        <v>4.303</v>
      </c>
      <c r="L10" s="48">
        <v>5.313</v>
      </c>
      <c r="M10" s="16"/>
      <c r="N10" s="16"/>
    </row>
    <row r="11" spans="1:6" ht="15">
      <c r="A11" s="39" t="s">
        <v>68</v>
      </c>
      <c r="B11" s="16"/>
      <c r="C11" s="8"/>
      <c r="D11" s="16"/>
      <c r="E11" s="8"/>
      <c r="F11" s="10"/>
    </row>
    <row r="12" spans="1:6" ht="15">
      <c r="A12" s="39" t="s">
        <v>103</v>
      </c>
      <c r="B12" s="11"/>
      <c r="C12" s="8"/>
      <c r="D12" s="16"/>
      <c r="E12" s="16"/>
      <c r="F12" s="16"/>
    </row>
    <row r="13" spans="1:6" ht="15">
      <c r="A13" s="39"/>
      <c r="B13" s="11"/>
      <c r="C13" s="8"/>
      <c r="D13" s="16"/>
      <c r="E13" s="16"/>
      <c r="F13" s="16"/>
    </row>
    <row r="14" spans="1:6" ht="15">
      <c r="A14" s="39"/>
      <c r="B14" s="11"/>
      <c r="C14" s="8"/>
      <c r="D14" s="16"/>
      <c r="E14" s="16"/>
      <c r="F14" s="16"/>
    </row>
    <row r="15" spans="1:6" ht="15">
      <c r="A15" s="39"/>
      <c r="B15" s="11"/>
      <c r="C15" s="8"/>
      <c r="D15" s="16"/>
      <c r="E15" s="16"/>
      <c r="F15" s="16"/>
    </row>
    <row r="16" spans="3:14" s="16" customFormat="1" ht="12.75">
      <c r="C16" s="8"/>
      <c r="G16" s="26"/>
      <c r="H16" s="26"/>
      <c r="I16" s="26"/>
      <c r="J16" s="26"/>
      <c r="K16" s="26"/>
      <c r="L16" s="26"/>
      <c r="M16" s="26"/>
      <c r="N16" s="26"/>
    </row>
    <row r="17" spans="1:14" s="16" customFormat="1" ht="18" thickBot="1">
      <c r="A17" s="68" t="s">
        <v>193</v>
      </c>
      <c r="B17" s="68"/>
      <c r="C17" s="68"/>
      <c r="D17" s="68"/>
      <c r="G17" s="26"/>
      <c r="H17" s="26"/>
      <c r="I17" s="26"/>
      <c r="J17" s="26"/>
      <c r="K17" s="26"/>
      <c r="L17" s="26"/>
      <c r="M17" s="26"/>
      <c r="N17" s="26"/>
    </row>
    <row r="18" spans="3:14" s="16" customFormat="1" ht="13.5" thickTop="1">
      <c r="C18" s="8"/>
      <c r="G18" s="26"/>
      <c r="H18" s="26"/>
      <c r="I18" s="26"/>
      <c r="J18" s="26"/>
      <c r="K18" s="26"/>
      <c r="L18" s="26"/>
      <c r="M18" s="26"/>
      <c r="N18" s="26"/>
    </row>
    <row r="19" spans="1:13" s="16" customFormat="1" ht="12.75">
      <c r="A19" s="22"/>
      <c r="B19" s="45" t="s">
        <v>17</v>
      </c>
      <c r="C19" s="22"/>
      <c r="D19" s="22"/>
      <c r="E19" s="22"/>
      <c r="F19" s="22"/>
      <c r="G19" s="22"/>
      <c r="H19" s="45" t="s">
        <v>107</v>
      </c>
      <c r="I19" s="22" t="s">
        <v>70</v>
      </c>
      <c r="J19" s="45" t="s">
        <v>107</v>
      </c>
      <c r="K19" s="22" t="s">
        <v>70</v>
      </c>
      <c r="L19" s="22"/>
      <c r="M19" s="22"/>
    </row>
    <row r="20" spans="1:13" s="16" customFormat="1" ht="12.75">
      <c r="A20" s="22"/>
      <c r="B20" s="22" t="s">
        <v>100</v>
      </c>
      <c r="C20" s="22" t="s">
        <v>71</v>
      </c>
      <c r="D20" s="22" t="s">
        <v>72</v>
      </c>
      <c r="E20" s="22" t="s">
        <v>71</v>
      </c>
      <c r="F20" s="22" t="s">
        <v>71</v>
      </c>
      <c r="G20" s="22" t="s">
        <v>71</v>
      </c>
      <c r="H20" s="22" t="s">
        <v>73</v>
      </c>
      <c r="I20" s="22" t="s">
        <v>73</v>
      </c>
      <c r="J20" s="22" t="s">
        <v>73</v>
      </c>
      <c r="K20" s="22" t="s">
        <v>73</v>
      </c>
      <c r="L20" s="22"/>
      <c r="M20" s="45" t="s">
        <v>71</v>
      </c>
    </row>
    <row r="21" spans="1:13" s="16" customFormat="1" ht="12.75">
      <c r="A21" s="46" t="s">
        <v>12</v>
      </c>
      <c r="B21" s="46" t="s">
        <v>26</v>
      </c>
      <c r="C21" s="46" t="s">
        <v>74</v>
      </c>
      <c r="D21" s="46" t="s">
        <v>75</v>
      </c>
      <c r="E21" s="46" t="s">
        <v>76</v>
      </c>
      <c r="F21" s="46" t="s">
        <v>77</v>
      </c>
      <c r="G21" s="46" t="s">
        <v>78</v>
      </c>
      <c r="H21" s="46" t="s">
        <v>77</v>
      </c>
      <c r="I21" s="46" t="s">
        <v>77</v>
      </c>
      <c r="J21" s="46" t="s">
        <v>79</v>
      </c>
      <c r="K21" s="46" t="s">
        <v>79</v>
      </c>
      <c r="L21" s="46" t="s">
        <v>79</v>
      </c>
      <c r="M21" s="46" t="s">
        <v>77</v>
      </c>
    </row>
    <row r="22" spans="1:13" s="16" customFormat="1" ht="18" thickBot="1">
      <c r="A22" s="25" t="s">
        <v>195</v>
      </c>
      <c r="C22" s="15"/>
      <c r="D22" s="15"/>
      <c r="F22" s="14"/>
      <c r="G22" s="15"/>
      <c r="I22" s="17"/>
      <c r="J22" s="18"/>
      <c r="K22" s="18"/>
      <c r="L22" s="19"/>
      <c r="M22" s="20"/>
    </row>
    <row r="23" spans="1:13" s="16" customFormat="1" ht="15.75" thickTop="1">
      <c r="A23" s="40" t="s">
        <v>196</v>
      </c>
      <c r="B23" s="49" t="s">
        <v>26</v>
      </c>
      <c r="C23" s="44">
        <v>5</v>
      </c>
      <c r="D23" s="44">
        <v>18</v>
      </c>
      <c r="E23" s="44"/>
      <c r="F23" s="44" t="s">
        <v>197</v>
      </c>
      <c r="G23" s="44" t="s">
        <v>117</v>
      </c>
      <c r="H23" s="23">
        <f>IF($B23="E",$D23*$M23,0)</f>
        <v>0</v>
      </c>
      <c r="I23" s="41">
        <f>IF($B23="E",0,$D23*$M23)</f>
        <v>212.25</v>
      </c>
      <c r="J23" s="42">
        <f>$H23*$L23</f>
        <v>0</v>
      </c>
      <c r="K23" s="63">
        <f>$I23*$L23</f>
        <v>221.37675</v>
      </c>
      <c r="L23" s="43">
        <f>IF($B23="E",LOOKUP(C23,$D$9:$L$9,$D$10:$L$10),LOOKUP(C23,$D$9:$L$9,$D$10:$L$10))</f>
        <v>1.043</v>
      </c>
      <c r="M23" s="43">
        <f aca="true" t="shared" si="0" ref="M23:M35">(LEFT(F23,(FIND("'",F23)-1)))+((MID(F23,FIND("-",F23)+1,((FIND("""",F23)-(FIND("-",F23))-1))))/12)</f>
        <v>11.791666666666666</v>
      </c>
    </row>
    <row r="24" spans="1:13" s="16" customFormat="1" ht="15">
      <c r="A24" s="40" t="s">
        <v>198</v>
      </c>
      <c r="B24" s="49" t="s">
        <v>26</v>
      </c>
      <c r="C24" s="44">
        <v>6</v>
      </c>
      <c r="D24" s="44">
        <v>8</v>
      </c>
      <c r="E24" s="44"/>
      <c r="F24" s="44" t="s">
        <v>199</v>
      </c>
      <c r="G24" s="44" t="s">
        <v>117</v>
      </c>
      <c r="H24" s="23">
        <f>IF($B24="E",$D24*$M24,0)</f>
        <v>0</v>
      </c>
      <c r="I24" s="41">
        <f>IF($B24="E",0,$D24*$M24)</f>
        <v>1065.3333333333333</v>
      </c>
      <c r="J24" s="42">
        <f>$H24*$L24</f>
        <v>0</v>
      </c>
      <c r="K24" s="63">
        <f>$I24*$L24</f>
        <v>1600.1306666666665</v>
      </c>
      <c r="L24" s="43">
        <f>IF($B24="E",LOOKUP(C24,$D$9:$L$9,$D$10:$L$10),LOOKUP(C24,$D$9:$L$9,$D$10:$L$10))</f>
        <v>1.502</v>
      </c>
      <c r="M24" s="43">
        <f t="shared" si="0"/>
        <v>133.16666666666666</v>
      </c>
    </row>
    <row r="25" spans="1:13" s="16" customFormat="1" ht="15">
      <c r="A25" s="40" t="s">
        <v>200</v>
      </c>
      <c r="B25" s="49" t="s">
        <v>26</v>
      </c>
      <c r="C25" s="44">
        <v>6</v>
      </c>
      <c r="D25" s="44">
        <v>154</v>
      </c>
      <c r="E25" s="44" t="s">
        <v>154</v>
      </c>
      <c r="F25" s="44" t="s">
        <v>207</v>
      </c>
      <c r="G25" s="44" t="s">
        <v>161</v>
      </c>
      <c r="H25" s="23">
        <f>IF($B25="E",$D25*$M25,0)</f>
        <v>0</v>
      </c>
      <c r="I25" s="41">
        <f>IF($B25="E",0,$D25*$M25)</f>
        <v>3080</v>
      </c>
      <c r="J25" s="42">
        <f>$H25*$L25</f>
        <v>0</v>
      </c>
      <c r="K25" s="63">
        <f>$I25*$L25</f>
        <v>4626.16</v>
      </c>
      <c r="L25" s="43">
        <f>IF($B25="E",LOOKUP(C25,$D$9:$L$9,$D$10:$L$10),LOOKUP(C25,$D$9:$L$9,$D$10:$L$10))</f>
        <v>1.502</v>
      </c>
      <c r="M25" s="43">
        <f t="shared" si="0"/>
        <v>20</v>
      </c>
    </row>
    <row r="26" spans="1:13" s="16" customFormat="1" ht="15">
      <c r="A26" s="40" t="s">
        <v>201</v>
      </c>
      <c r="B26" s="49" t="s">
        <v>26</v>
      </c>
      <c r="C26" s="44">
        <v>11</v>
      </c>
      <c r="D26" s="44">
        <v>12</v>
      </c>
      <c r="E26" s="44"/>
      <c r="F26" s="44" t="s">
        <v>202</v>
      </c>
      <c r="G26" s="44" t="s">
        <v>117</v>
      </c>
      <c r="H26" s="23">
        <f>IF($B26="E",$D26*$M26,0)</f>
        <v>0</v>
      </c>
      <c r="I26" s="41">
        <f>IF($B26="E",0,$D26*$M26)</f>
        <v>1569</v>
      </c>
      <c r="J26" s="42">
        <f>$H26*$L26</f>
        <v>0</v>
      </c>
      <c r="K26" s="63">
        <f>$I26*$L26</f>
        <v>8336.097</v>
      </c>
      <c r="L26" s="43">
        <f>IF($B26="E",LOOKUP(C26,$D$9:$L$9,$D$10:$L$10),LOOKUP(C26,$D$9:$L$9,$D$10:$L$10))</f>
        <v>5.313</v>
      </c>
      <c r="M26" s="43">
        <f t="shared" si="0"/>
        <v>130.75</v>
      </c>
    </row>
    <row r="27" spans="1:13" s="16" customFormat="1" ht="15">
      <c r="A27" s="40" t="s">
        <v>203</v>
      </c>
      <c r="B27" s="49" t="s">
        <v>26</v>
      </c>
      <c r="C27" s="44">
        <v>11</v>
      </c>
      <c r="D27" s="44">
        <v>6</v>
      </c>
      <c r="E27" s="44"/>
      <c r="F27" s="44" t="s">
        <v>206</v>
      </c>
      <c r="G27" s="44" t="s">
        <v>117</v>
      </c>
      <c r="H27" s="23">
        <f>IF($B27="E",$D27*$M27,0)</f>
        <v>0</v>
      </c>
      <c r="I27" s="41">
        <f>IF($B27="E",0,$D27*$M27)</f>
        <v>502</v>
      </c>
      <c r="J27" s="42">
        <f>$H27*$L27</f>
        <v>0</v>
      </c>
      <c r="K27" s="63">
        <f>$I27*$L27</f>
        <v>2667.1259999999997</v>
      </c>
      <c r="L27" s="43">
        <f>IF($B27="E",LOOKUP(C27,$D$9:$L$9,$D$10:$L$10),LOOKUP(C27,$D$9:$L$9,$D$10:$L$10))</f>
        <v>5.313</v>
      </c>
      <c r="M27" s="43">
        <f t="shared" si="0"/>
        <v>83.66666666666667</v>
      </c>
    </row>
    <row r="28" spans="1:13" s="16" customFormat="1" ht="15">
      <c r="A28" s="40" t="s">
        <v>204</v>
      </c>
      <c r="B28" s="49" t="s">
        <v>26</v>
      </c>
      <c r="C28" s="44">
        <v>11</v>
      </c>
      <c r="D28" s="44">
        <v>6</v>
      </c>
      <c r="E28" s="44"/>
      <c r="F28" s="44" t="s">
        <v>205</v>
      </c>
      <c r="G28" s="44" t="s">
        <v>117</v>
      </c>
      <c r="H28" s="23">
        <f>IF($B28="E",$D28*$M28,0)</f>
        <v>0</v>
      </c>
      <c r="I28" s="41">
        <f>IF($B28="E",0,$D28*$M28)</f>
        <v>136</v>
      </c>
      <c r="J28" s="42">
        <f>$H28*$L28</f>
        <v>0</v>
      </c>
      <c r="K28" s="63">
        <f>$I28*$L28</f>
        <v>722.568</v>
      </c>
      <c r="L28" s="43">
        <f>IF($B28="E",LOOKUP(C28,$D$9:$L$9,$D$10:$L$10),LOOKUP(C28,$D$9:$L$9,$D$10:$L$10))</f>
        <v>5.313</v>
      </c>
      <c r="M28" s="43">
        <f t="shared" si="0"/>
        <v>22.666666666666668</v>
      </c>
    </row>
    <row r="29" spans="1:13" s="16" customFormat="1" ht="18" thickBot="1">
      <c r="A29" s="25" t="s">
        <v>173</v>
      </c>
      <c r="B29" s="26"/>
      <c r="C29" s="26"/>
      <c r="D29" s="26"/>
      <c r="E29" s="26"/>
      <c r="F29" s="26"/>
      <c r="G29" s="26"/>
      <c r="H29" s="26"/>
      <c r="I29" s="26"/>
      <c r="J29" s="26"/>
      <c r="K29" s="26"/>
      <c r="L29" s="26"/>
      <c r="M29" s="26"/>
    </row>
    <row r="30" spans="1:13" s="16" customFormat="1" ht="15.75" thickTop="1">
      <c r="A30" s="40" t="s">
        <v>174</v>
      </c>
      <c r="B30" s="49" t="s">
        <v>26</v>
      </c>
      <c r="C30" s="44">
        <v>7</v>
      </c>
      <c r="D30" s="44">
        <v>6</v>
      </c>
      <c r="E30" s="44" t="s">
        <v>176</v>
      </c>
      <c r="F30" s="44" t="s">
        <v>175</v>
      </c>
      <c r="G30" s="44" t="s">
        <v>168</v>
      </c>
      <c r="H30" s="23">
        <f aca="true" t="shared" si="1" ref="H30:H41">IF($B30="E",$D30*$M30,0)</f>
        <v>0</v>
      </c>
      <c r="I30" s="41">
        <f aca="true" t="shared" si="2" ref="I30:I41">IF($B30="E",0,$D30*$M30)</f>
        <v>43</v>
      </c>
      <c r="J30" s="42">
        <f aca="true" t="shared" si="3" ref="J30:J41">$H30*$L30</f>
        <v>0</v>
      </c>
      <c r="K30" s="63">
        <f aca="true" t="shared" si="4" ref="K30:K41">$I30*$L30</f>
        <v>87.892</v>
      </c>
      <c r="L30" s="43">
        <f aca="true" t="shared" si="5" ref="L30:L35">IF($B30="E",LOOKUP(C30,$D$9:$L$9,$D$10:$L$10),LOOKUP(C30,$D$9:$L$9,$D$10:$L$10))</f>
        <v>2.044</v>
      </c>
      <c r="M30" s="43">
        <f t="shared" si="0"/>
        <v>7.166666666666667</v>
      </c>
    </row>
    <row r="31" spans="1:13" s="16" customFormat="1" ht="15">
      <c r="A31" s="40" t="s">
        <v>177</v>
      </c>
      <c r="B31" s="49" t="s">
        <v>26</v>
      </c>
      <c r="C31" s="44">
        <v>8</v>
      </c>
      <c r="D31" s="44">
        <v>10</v>
      </c>
      <c r="E31" s="44" t="s">
        <v>154</v>
      </c>
      <c r="F31" s="44" t="s">
        <v>178</v>
      </c>
      <c r="G31" s="44" t="s">
        <v>117</v>
      </c>
      <c r="H31" s="23">
        <f t="shared" si="1"/>
        <v>0</v>
      </c>
      <c r="I31" s="41">
        <f t="shared" si="2"/>
        <v>214.16666666666669</v>
      </c>
      <c r="J31" s="42">
        <f t="shared" si="3"/>
        <v>0</v>
      </c>
      <c r="K31" s="63">
        <f t="shared" si="4"/>
        <v>571.825</v>
      </c>
      <c r="L31" s="43">
        <f t="shared" si="5"/>
        <v>2.67</v>
      </c>
      <c r="M31" s="43">
        <f t="shared" si="0"/>
        <v>21.416666666666668</v>
      </c>
    </row>
    <row r="32" spans="1:13" s="16" customFormat="1" ht="15">
      <c r="A32" s="40" t="s">
        <v>179</v>
      </c>
      <c r="B32" s="49" t="s">
        <v>26</v>
      </c>
      <c r="C32" s="44">
        <v>5</v>
      </c>
      <c r="D32" s="44">
        <v>4</v>
      </c>
      <c r="E32" s="44" t="s">
        <v>176</v>
      </c>
      <c r="F32" s="44" t="s">
        <v>178</v>
      </c>
      <c r="G32" s="44" t="s">
        <v>117</v>
      </c>
      <c r="H32" s="23">
        <f t="shared" si="1"/>
        <v>0</v>
      </c>
      <c r="I32" s="41">
        <f t="shared" si="2"/>
        <v>85.66666666666667</v>
      </c>
      <c r="J32" s="42">
        <f t="shared" si="3"/>
        <v>0</v>
      </c>
      <c r="K32" s="63">
        <f t="shared" si="4"/>
        <v>89.35033333333334</v>
      </c>
      <c r="L32" s="43">
        <f t="shared" si="5"/>
        <v>1.043</v>
      </c>
      <c r="M32" s="43">
        <f t="shared" si="0"/>
        <v>21.416666666666668</v>
      </c>
    </row>
    <row r="33" spans="1:13" s="16" customFormat="1" ht="15">
      <c r="A33" s="40" t="s">
        <v>181</v>
      </c>
      <c r="B33" s="49" t="s">
        <v>26</v>
      </c>
      <c r="C33" s="44">
        <v>4</v>
      </c>
      <c r="D33" s="44">
        <v>14</v>
      </c>
      <c r="E33" s="44" t="s">
        <v>154</v>
      </c>
      <c r="F33" s="44" t="s">
        <v>162</v>
      </c>
      <c r="G33" s="44" t="s">
        <v>161</v>
      </c>
      <c r="H33" s="23">
        <f t="shared" si="1"/>
        <v>0</v>
      </c>
      <c r="I33" s="41">
        <f t="shared" si="2"/>
        <v>178.5</v>
      </c>
      <c r="J33" s="42">
        <f t="shared" si="3"/>
        <v>0</v>
      </c>
      <c r="K33" s="63">
        <f t="shared" si="4"/>
        <v>119.23800000000001</v>
      </c>
      <c r="L33" s="43">
        <f t="shared" si="5"/>
        <v>0.668</v>
      </c>
      <c r="M33" s="43">
        <f t="shared" si="0"/>
        <v>12.75</v>
      </c>
    </row>
    <row r="34" spans="1:13" s="16" customFormat="1" ht="15">
      <c r="A34" s="40" t="s">
        <v>208</v>
      </c>
      <c r="B34" s="49" t="s">
        <v>26</v>
      </c>
      <c r="C34" s="44">
        <v>9</v>
      </c>
      <c r="D34" s="44">
        <v>4</v>
      </c>
      <c r="E34" s="44"/>
      <c r="F34" s="44" t="s">
        <v>178</v>
      </c>
      <c r="G34" s="44" t="s">
        <v>117</v>
      </c>
      <c r="H34" s="23">
        <f t="shared" si="1"/>
        <v>0</v>
      </c>
      <c r="I34" s="41">
        <f t="shared" si="2"/>
        <v>85.66666666666667</v>
      </c>
      <c r="J34" s="42">
        <f t="shared" si="3"/>
        <v>0</v>
      </c>
      <c r="K34" s="63">
        <f t="shared" si="4"/>
        <v>291.26666666666665</v>
      </c>
      <c r="L34" s="43">
        <f t="shared" si="5"/>
        <v>3.4</v>
      </c>
      <c r="M34" s="43">
        <f t="shared" si="0"/>
        <v>21.416666666666668</v>
      </c>
    </row>
    <row r="35" spans="1:13" s="16" customFormat="1" ht="15">
      <c r="A35" s="40" t="s">
        <v>209</v>
      </c>
      <c r="B35" s="49" t="s">
        <v>26</v>
      </c>
      <c r="C35" s="44">
        <v>5</v>
      </c>
      <c r="D35" s="44">
        <v>26</v>
      </c>
      <c r="E35" s="44" t="s">
        <v>176</v>
      </c>
      <c r="F35" s="44" t="s">
        <v>210</v>
      </c>
      <c r="G35" s="44" t="s">
        <v>33</v>
      </c>
      <c r="H35" s="23">
        <f t="shared" si="1"/>
        <v>0</v>
      </c>
      <c r="I35" s="41">
        <f t="shared" si="2"/>
        <v>173.33333333333334</v>
      </c>
      <c r="J35" s="42">
        <f t="shared" si="3"/>
        <v>0</v>
      </c>
      <c r="K35" s="63">
        <f t="shared" si="4"/>
        <v>180.78666666666666</v>
      </c>
      <c r="L35" s="43">
        <f t="shared" si="5"/>
        <v>1.043</v>
      </c>
      <c r="M35" s="43">
        <f t="shared" si="0"/>
        <v>6.666666666666667</v>
      </c>
    </row>
    <row r="36" spans="1:13" s="16" customFormat="1" ht="15">
      <c r="A36" s="40" t="s">
        <v>211</v>
      </c>
      <c r="B36" s="49" t="s">
        <v>26</v>
      </c>
      <c r="C36" s="44">
        <v>7</v>
      </c>
      <c r="D36" s="44">
        <v>16</v>
      </c>
      <c r="E36" s="44" t="s">
        <v>115</v>
      </c>
      <c r="F36" s="44" t="s">
        <v>212</v>
      </c>
      <c r="G36" s="44" t="s">
        <v>168</v>
      </c>
      <c r="H36" s="23">
        <f t="shared" si="1"/>
        <v>0</v>
      </c>
      <c r="I36" s="41">
        <f t="shared" si="2"/>
        <v>73.33333333333333</v>
      </c>
      <c r="J36" s="42">
        <f t="shared" si="3"/>
        <v>0</v>
      </c>
      <c r="K36" s="63">
        <f t="shared" si="4"/>
        <v>149.89333333333332</v>
      </c>
      <c r="L36" s="43">
        <f>IF($B36="E",LOOKUP(C36,$D$9:$L$9,$D$10:$L$10),LOOKUP(C36,$D$9:$L$9,$D$10:$L$10))</f>
        <v>2.044</v>
      </c>
      <c r="M36" s="43">
        <f>(LEFT(F36,(FIND("'",F36)-1)))+((MID(F36,FIND("-",F36)+1,((FIND("""",F36)-(FIND("-",F36))-1))))/12)</f>
        <v>4.583333333333333</v>
      </c>
    </row>
    <row r="37" spans="1:13" s="16" customFormat="1" ht="15">
      <c r="A37" s="40" t="s">
        <v>213</v>
      </c>
      <c r="B37" s="49" t="s">
        <v>26</v>
      </c>
      <c r="C37" s="44">
        <v>6</v>
      </c>
      <c r="D37" s="44">
        <v>8</v>
      </c>
      <c r="E37" s="44" t="s">
        <v>115</v>
      </c>
      <c r="F37" s="44" t="s">
        <v>214</v>
      </c>
      <c r="G37" s="44" t="s">
        <v>215</v>
      </c>
      <c r="H37" s="23">
        <f t="shared" si="1"/>
        <v>0</v>
      </c>
      <c r="I37" s="41">
        <f t="shared" si="2"/>
        <v>24.666666666666668</v>
      </c>
      <c r="J37" s="42">
        <f t="shared" si="3"/>
        <v>0</v>
      </c>
      <c r="K37" s="63">
        <f t="shared" si="4"/>
        <v>37.04933333333334</v>
      </c>
      <c r="L37" s="43">
        <f>IF($B37="E",LOOKUP(C37,$D$9:$L$9,$D$10:$L$10),LOOKUP(C37,$D$9:$L$9,$D$10:$L$10))</f>
        <v>1.502</v>
      </c>
      <c r="M37" s="43">
        <f>(LEFT(F37,(FIND("'",F37)-1)))+((MID(F37,FIND("-",F37)+1,((FIND("""",F37)-(FIND("-",F37))-1))))/12)</f>
        <v>3.0833333333333335</v>
      </c>
    </row>
    <row r="38" spans="1:13" s="16" customFormat="1" ht="15">
      <c r="A38" s="40" t="s">
        <v>216</v>
      </c>
      <c r="B38" s="49" t="s">
        <v>26</v>
      </c>
      <c r="C38" s="44">
        <v>6</v>
      </c>
      <c r="D38" s="44">
        <v>16</v>
      </c>
      <c r="E38" s="44"/>
      <c r="F38" s="44" t="s">
        <v>212</v>
      </c>
      <c r="G38" s="44" t="s">
        <v>161</v>
      </c>
      <c r="H38" s="23">
        <f t="shared" si="1"/>
        <v>0</v>
      </c>
      <c r="I38" s="41">
        <f t="shared" si="2"/>
        <v>73.33333333333333</v>
      </c>
      <c r="J38" s="42">
        <f t="shared" si="3"/>
        <v>0</v>
      </c>
      <c r="K38" s="63">
        <f t="shared" si="4"/>
        <v>110.14666666666666</v>
      </c>
      <c r="L38" s="43">
        <f>IF($B38="E",LOOKUP(C38,$D$9:$L$9,$D$10:$L$10),LOOKUP(C38,$D$9:$L$9,$D$10:$L$10))</f>
        <v>1.502</v>
      </c>
      <c r="M38" s="43">
        <f>(LEFT(F38,(FIND("'",F38)-1)))+((MID(F38,FIND("-",F38)+1,((FIND("""",F38)-(FIND("-",F38))-1))))/12)</f>
        <v>4.583333333333333</v>
      </c>
    </row>
    <row r="39" spans="1:13" s="16" customFormat="1" ht="15">
      <c r="A39" s="40" t="s">
        <v>217</v>
      </c>
      <c r="B39" s="49" t="s">
        <v>26</v>
      </c>
      <c r="C39" s="44">
        <v>6</v>
      </c>
      <c r="D39" s="44">
        <v>20</v>
      </c>
      <c r="E39" s="44"/>
      <c r="F39" s="44" t="s">
        <v>176</v>
      </c>
      <c r="G39" s="44" t="s">
        <v>117</v>
      </c>
      <c r="H39" s="23">
        <f t="shared" si="1"/>
        <v>0</v>
      </c>
      <c r="I39" s="41">
        <f t="shared" si="2"/>
        <v>30</v>
      </c>
      <c r="J39" s="42">
        <f t="shared" si="3"/>
        <v>0</v>
      </c>
      <c r="K39" s="63">
        <f t="shared" si="4"/>
        <v>45.06</v>
      </c>
      <c r="L39" s="43">
        <f>IF($B39="E",LOOKUP(C39,$D$9:$L$9,$D$10:$L$10),LOOKUP(C39,$D$9:$L$9,$D$10:$L$10))</f>
        <v>1.502</v>
      </c>
      <c r="M39" s="43">
        <f>(LEFT(F39,(FIND("'",F39)-1)))+((MID(F39,FIND("-",F39)+1,((FIND("""",F39)-(FIND("-",F39))-1))))/12)</f>
        <v>1.5</v>
      </c>
    </row>
    <row r="40" spans="1:13" s="16" customFormat="1" ht="15">
      <c r="A40" s="40" t="s">
        <v>218</v>
      </c>
      <c r="B40" s="49" t="s">
        <v>26</v>
      </c>
      <c r="C40" s="44">
        <v>6</v>
      </c>
      <c r="D40" s="44">
        <v>4</v>
      </c>
      <c r="E40" s="44"/>
      <c r="F40" s="44" t="s">
        <v>176</v>
      </c>
      <c r="G40" s="44" t="s">
        <v>117</v>
      </c>
      <c r="H40" s="23">
        <f t="shared" si="1"/>
        <v>0</v>
      </c>
      <c r="I40" s="41">
        <f t="shared" si="2"/>
        <v>6</v>
      </c>
      <c r="J40" s="42">
        <f t="shared" si="3"/>
        <v>0</v>
      </c>
      <c r="K40" s="63">
        <f t="shared" si="4"/>
        <v>9.012</v>
      </c>
      <c r="L40" s="43">
        <f>IF($B40="E",LOOKUP(C40,$D$9:$L$9,$D$10:$L$10),LOOKUP(C40,$D$9:$L$9,$D$10:$L$10))</f>
        <v>1.502</v>
      </c>
      <c r="M40" s="43">
        <f>(LEFT(F40,(FIND("'",F40)-1)))+((MID(F40,FIND("-",F40)+1,((FIND("""",F40)-(FIND("-",F40))-1))))/12)</f>
        <v>1.5</v>
      </c>
    </row>
    <row r="41" spans="1:13" s="16" customFormat="1" ht="15">
      <c r="A41" s="40" t="s">
        <v>219</v>
      </c>
      <c r="B41" s="49" t="s">
        <v>26</v>
      </c>
      <c r="C41" s="44">
        <v>6</v>
      </c>
      <c r="D41" s="44">
        <v>6</v>
      </c>
      <c r="E41" s="44"/>
      <c r="F41" s="44" t="s">
        <v>176</v>
      </c>
      <c r="G41" s="44" t="s">
        <v>117</v>
      </c>
      <c r="H41" s="23">
        <f t="shared" si="1"/>
        <v>0</v>
      </c>
      <c r="I41" s="41">
        <f t="shared" si="2"/>
        <v>9</v>
      </c>
      <c r="J41" s="42">
        <f t="shared" si="3"/>
        <v>0</v>
      </c>
      <c r="K41" s="63">
        <f t="shared" si="4"/>
        <v>13.518</v>
      </c>
      <c r="L41" s="43">
        <f>IF($B41="E",LOOKUP(C41,$D$9:$L$9,$D$10:$L$10),LOOKUP(C41,$D$9:$L$9,$D$10:$L$10))</f>
        <v>1.502</v>
      </c>
      <c r="M41" s="43">
        <f>(LEFT(F41,(FIND("'",F41)-1)))+((MID(F41,FIND("-",F41)+1,((FIND("""",F41)-(FIND("-",F41))-1))))/12)</f>
        <v>1.5</v>
      </c>
    </row>
    <row r="42" spans="3:16" s="16" customFormat="1" ht="12">
      <c r="C42" s="15"/>
      <c r="D42" s="15"/>
      <c r="F42" s="14"/>
      <c r="G42" s="15"/>
      <c r="H42" s="13"/>
      <c r="I42" s="13"/>
      <c r="J42" s="14"/>
      <c r="L42" s="17"/>
      <c r="M42" s="18"/>
      <c r="N42" s="18"/>
      <c r="O42" s="19"/>
      <c r="P42" s="20"/>
    </row>
    <row r="43" spans="3:16" s="16" customFormat="1" ht="12">
      <c r="C43" s="15"/>
      <c r="D43" s="15"/>
      <c r="F43" s="14"/>
      <c r="G43" s="15"/>
      <c r="H43" s="13"/>
      <c r="I43" s="13"/>
      <c r="J43" s="14"/>
      <c r="L43" s="17"/>
      <c r="M43" s="18"/>
      <c r="N43" s="18"/>
      <c r="O43" s="19"/>
      <c r="P43" s="20"/>
    </row>
    <row r="44" spans="3:16" s="16" customFormat="1" ht="12.75">
      <c r="C44" s="15"/>
      <c r="D44" s="15"/>
      <c r="F44" s="14"/>
      <c r="G44" s="15"/>
      <c r="H44" s="13"/>
      <c r="I44" s="13"/>
      <c r="J44" s="14"/>
      <c r="L44" s="21"/>
      <c r="M44" s="18"/>
      <c r="N44" s="18"/>
      <c r="O44" s="19"/>
      <c r="P44" s="20"/>
    </row>
    <row r="45" spans="5:11" ht="18" thickBot="1">
      <c r="E45" s="68" t="s">
        <v>194</v>
      </c>
      <c r="F45" s="68"/>
      <c r="G45" s="68"/>
      <c r="H45" s="68"/>
      <c r="I45" s="68"/>
      <c r="J45" s="68"/>
      <c r="K45" s="68"/>
    </row>
    <row r="46" spans="5:12" ht="18.75" thickBot="1" thickTop="1">
      <c r="E46" s="71" t="s">
        <v>106</v>
      </c>
      <c r="F46" s="71"/>
      <c r="G46" s="71"/>
      <c r="H46" s="57"/>
      <c r="I46" s="71" t="s">
        <v>101</v>
      </c>
      <c r="J46" s="71"/>
      <c r="K46" s="71"/>
      <c r="L46" s="56"/>
    </row>
    <row r="47" spans="5:11" ht="13.5" thickTop="1">
      <c r="E47" s="51" t="s">
        <v>73</v>
      </c>
      <c r="F47" s="58" t="s">
        <v>71</v>
      </c>
      <c r="G47" s="61" t="s">
        <v>73</v>
      </c>
      <c r="H47" s="52"/>
      <c r="I47" s="51" t="s">
        <v>73</v>
      </c>
      <c r="J47" s="61" t="s">
        <v>71</v>
      </c>
      <c r="K47" s="53" t="s">
        <v>73</v>
      </c>
    </row>
    <row r="48" spans="5:11" ht="12.75">
      <c r="E48" s="51" t="s">
        <v>77</v>
      </c>
      <c r="F48" s="51" t="s">
        <v>74</v>
      </c>
      <c r="G48" s="60" t="s">
        <v>79</v>
      </c>
      <c r="H48" s="52"/>
      <c r="I48" s="51" t="s">
        <v>77</v>
      </c>
      <c r="J48" s="51" t="s">
        <v>74</v>
      </c>
      <c r="K48" s="60" t="s">
        <v>79</v>
      </c>
    </row>
    <row r="49" spans="5:11" ht="15">
      <c r="E49" s="54">
        <f>SUMIF($C$23:$C$44,"=3",$H$23:$H$44)</f>
        <v>0</v>
      </c>
      <c r="F49" s="59" t="s">
        <v>102</v>
      </c>
      <c r="G49" s="55">
        <f>SUMIF($C$23:$C$44,"=3",$J$23:$J$44)</f>
        <v>0</v>
      </c>
      <c r="H49" s="56"/>
      <c r="I49" s="54">
        <f>SUMIF($C$23:$C$44,"=3",$I$23:$I$44)</f>
        <v>0</v>
      </c>
      <c r="J49" s="59" t="s">
        <v>102</v>
      </c>
      <c r="K49" s="55">
        <f>SUMIF($C$23:$C$44,"=3",$K$23:$K$44)</f>
        <v>0</v>
      </c>
    </row>
    <row r="50" spans="5:11" ht="15">
      <c r="E50" s="54">
        <f>SUMIF($C$23:$C$44,"=4",$H$23:$H$44)</f>
        <v>0</v>
      </c>
      <c r="F50" s="52" t="s">
        <v>81</v>
      </c>
      <c r="G50" s="55">
        <f>SUMIF($C$23:$C$44,"=4",$J$23:$J$44)</f>
        <v>0</v>
      </c>
      <c r="H50" s="56"/>
      <c r="I50" s="54">
        <f>SUMIF($C$23:$C$44,"=4",$I$23:$I$44)</f>
        <v>178.5</v>
      </c>
      <c r="J50" s="52" t="s">
        <v>81</v>
      </c>
      <c r="K50" s="55">
        <f>SUMIF($C$23:$C$44,"=4",$K$23:$K$44)</f>
        <v>119.23800000000001</v>
      </c>
    </row>
    <row r="51" spans="5:11" ht="15">
      <c r="E51" s="54">
        <f>SUMIF($C$23:$C$44,"=5",$H$23:$H$44)</f>
        <v>0</v>
      </c>
      <c r="F51" s="52" t="s">
        <v>82</v>
      </c>
      <c r="G51" s="55">
        <f>SUMIF($C$23:$C$44,"=5",$J$23:$J$44)</f>
        <v>0</v>
      </c>
      <c r="H51" s="56"/>
      <c r="I51" s="54">
        <f>SUMIF($C$23:$C$44,"=5",$I$23:$I$44)</f>
        <v>471.25</v>
      </c>
      <c r="J51" s="52" t="s">
        <v>82</v>
      </c>
      <c r="K51" s="55">
        <f>SUMIF($C$23:$C$44,"=5",$K$23:$K$44)</f>
        <v>491.51374999999996</v>
      </c>
    </row>
    <row r="52" spans="5:11" ht="15">
      <c r="E52" s="54">
        <f>SUMIF($C$23:$C$44,"=6",$H$23:$H$44)</f>
        <v>0</v>
      </c>
      <c r="F52" s="52" t="s">
        <v>83</v>
      </c>
      <c r="G52" s="55">
        <f>SUMIF($C$23:$C$44,"=6",$J$23:$J$44)</f>
        <v>0</v>
      </c>
      <c r="H52" s="56"/>
      <c r="I52" s="54">
        <f>SUMIF($C$23:$C$44,"=6",$I$23:$I$44)</f>
        <v>4288.333333333333</v>
      </c>
      <c r="J52" s="52" t="s">
        <v>83</v>
      </c>
      <c r="K52" s="55">
        <f>SUMIF($C$23:$C$44,"=6",$K$23:$K$44)</f>
        <v>6441.076666666666</v>
      </c>
    </row>
    <row r="53" spans="5:11" ht="15">
      <c r="E53" s="54">
        <f>SUMIF($C$23:$C$44,"=7",$H$23:$H$44)</f>
        <v>0</v>
      </c>
      <c r="F53" s="52" t="s">
        <v>84</v>
      </c>
      <c r="G53" s="55">
        <f>SUMIF($C$23:$C$44,"=7",$J$23:$J$44)</f>
        <v>0</v>
      </c>
      <c r="H53" s="56"/>
      <c r="I53" s="54">
        <f>SUMIF($C$23:$C$44,"=7",$I$23:$I$44)</f>
        <v>116.33333333333333</v>
      </c>
      <c r="J53" s="52" t="s">
        <v>84</v>
      </c>
      <c r="K53" s="55">
        <f>SUMIF($C$23:$C$44,"=7",$K$23:$K$44)</f>
        <v>237.7853333333333</v>
      </c>
    </row>
    <row r="54" spans="5:11" ht="15">
      <c r="E54" s="54">
        <f>SUMIF($C$23:$C$44,"=8",$H$23:$H$44)</f>
        <v>0</v>
      </c>
      <c r="F54" s="52" t="s">
        <v>85</v>
      </c>
      <c r="G54" s="55">
        <f>SUMIF($C$23:$C$44,"=8",$J$23:$J$44)</f>
        <v>0</v>
      </c>
      <c r="H54" s="56"/>
      <c r="I54" s="54">
        <f>SUMIF($C$23:$C$44,"=8",$I$23:$I$44)</f>
        <v>214.16666666666669</v>
      </c>
      <c r="J54" s="52" t="s">
        <v>85</v>
      </c>
      <c r="K54" s="55">
        <f>SUMIF($C$23:$C$44,"=8",$K$23:$K$44)</f>
        <v>571.825</v>
      </c>
    </row>
    <row r="55" spans="5:11" ht="15">
      <c r="E55" s="54">
        <f>SUMIF($C$23:$C$44,"=9",$H$23:$H$44)</f>
        <v>0</v>
      </c>
      <c r="F55" s="52" t="s">
        <v>86</v>
      </c>
      <c r="G55" s="55">
        <f>SUMIF($C$23:$C$44,"=9",$J$23:$J$44)</f>
        <v>0</v>
      </c>
      <c r="H55" s="56"/>
      <c r="I55" s="54">
        <f>SUMIF($C$23:$C$44,"=9",$I$23:$I$44)</f>
        <v>85.66666666666667</v>
      </c>
      <c r="J55" s="52" t="s">
        <v>86</v>
      </c>
      <c r="K55" s="55">
        <f>SUMIF($C$23:$C$44,"=9",$K$23:$K$44)</f>
        <v>291.26666666666665</v>
      </c>
    </row>
    <row r="56" spans="5:11" ht="15">
      <c r="E56" s="54">
        <f>SUMIF($C$23:$C$44,"=10",$H$23:$H$44)</f>
        <v>0</v>
      </c>
      <c r="F56" s="52" t="s">
        <v>87</v>
      </c>
      <c r="G56" s="55">
        <f>SUMIF($C$23:$C$44,"=10",$J$23:$J$44)</f>
        <v>0</v>
      </c>
      <c r="H56" s="56"/>
      <c r="I56" s="54">
        <f>SUMIF($C$23:$C$44,"=10",$I$23:$I$44)</f>
        <v>0</v>
      </c>
      <c r="J56" s="52" t="s">
        <v>87</v>
      </c>
      <c r="K56" s="55">
        <f>SUMIF($C$23:$C$44,"=10",$K$23:$K$44)</f>
        <v>0</v>
      </c>
    </row>
    <row r="57" spans="5:11" ht="15">
      <c r="E57" s="54">
        <f>SUMIF($C$23:$C$44,"=11",$H$23:$H$44)</f>
        <v>0</v>
      </c>
      <c r="F57" s="52" t="s">
        <v>88</v>
      </c>
      <c r="G57" s="55">
        <f>SUMIF($C$23:$C$44,"=11",$J$23:$J$44)</f>
        <v>0</v>
      </c>
      <c r="H57" s="56"/>
      <c r="I57" s="54">
        <f>SUMIF($C$23:$C$44,"=11",$I$23:$I$44)</f>
        <v>2207</v>
      </c>
      <c r="J57" s="52" t="s">
        <v>88</v>
      </c>
      <c r="K57" s="55">
        <f>SUMIF($C$23:$C$44,"=11",$K$23:$K$44)</f>
        <v>11725.791</v>
      </c>
    </row>
    <row r="58" spans="5:11" ht="15">
      <c r="E58" s="69" t="s">
        <v>108</v>
      </c>
      <c r="F58" s="70"/>
      <c r="G58" s="62">
        <f>SUM(G49:G57)</f>
        <v>0</v>
      </c>
      <c r="H58" s="56"/>
      <c r="I58" s="69" t="s">
        <v>104</v>
      </c>
      <c r="J58" s="70"/>
      <c r="K58" s="62">
        <f>SUM(K49:K57)</f>
        <v>19878.496416666665</v>
      </c>
    </row>
    <row r="59" ht="12.75">
      <c r="H59" s="56"/>
    </row>
    <row r="61" ht="12.75">
      <c r="A61" s="12"/>
    </row>
  </sheetData>
  <sheetProtection/>
  <mergeCells count="12">
    <mergeCell ref="G1:I1"/>
    <mergeCell ref="A17:D17"/>
    <mergeCell ref="B1:E1"/>
    <mergeCell ref="B2:E2"/>
    <mergeCell ref="B3:E3"/>
    <mergeCell ref="B4:E4"/>
    <mergeCell ref="B5:E5"/>
    <mergeCell ref="E45:K45"/>
    <mergeCell ref="E46:G46"/>
    <mergeCell ref="I46:K46"/>
    <mergeCell ref="E58:F58"/>
    <mergeCell ref="I58:J58"/>
  </mergeCells>
  <dataValidations count="2">
    <dataValidation type="list" allowBlank="1" showInputMessage="1" showErrorMessage="1" sqref="C23:C41">
      <formula1>"3, 4, 5, 6, 7, 8, 9, 10, 11"</formula1>
    </dataValidation>
    <dataValidation type="list" allowBlank="1" showInputMessage="1" showErrorMessage="1" sqref="B23:B41">
      <formula1>"E, N"</formula1>
    </dataValidation>
  </dataValidations>
  <printOptions gridLines="1"/>
  <pageMargins left="0.25" right="0.25" top="0.5" bottom="0.5" header="0.25" footer="0.25"/>
  <pageSetup fitToHeight="0" fitToWidth="1" horizontalDpi="600" verticalDpi="600" orientation="landscape" scale="81" r:id="rId2"/>
  <headerFooter alignWithMargins="0">
    <oddHeader>&amp;C&amp;A&amp;R&amp;D</oddHeader>
    <oddFooter>&amp;CPage &amp;P of &amp;N</oddFooter>
  </headerFooter>
  <rowBreaks count="1" manualBreakCount="1">
    <brk id="43" max="255" man="1"/>
  </rowBreaks>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P50"/>
  <sheetViews>
    <sheetView zoomScalePageLayoutView="0" workbookViewId="0" topLeftCell="A1">
      <selection activeCell="A36" sqref="A36"/>
    </sheetView>
  </sheetViews>
  <sheetFormatPr defaultColWidth="10.28125" defaultRowHeight="12.75"/>
  <cols>
    <col min="1" max="1" width="43.8515625" style="26" bestFit="1" customWidth="1"/>
    <col min="2" max="2" width="2.421875" style="26" customWidth="1"/>
    <col min="3" max="3" width="4.7109375" style="26" bestFit="1" customWidth="1"/>
    <col min="4" max="4" width="6.57421875" style="26" bestFit="1" customWidth="1"/>
    <col min="5" max="5" width="8.57421875" style="26" bestFit="1" customWidth="1"/>
    <col min="6" max="6" width="8.7109375" style="26" bestFit="1" customWidth="1"/>
    <col min="7" max="7" width="10.140625" style="26" customWidth="1"/>
    <col min="8" max="8" width="12.00390625" style="26" bestFit="1" customWidth="1"/>
    <col min="9" max="9" width="11.00390625" style="26" bestFit="1" customWidth="1"/>
    <col min="10" max="10" width="9.28125" style="26" bestFit="1" customWidth="1"/>
    <col min="11" max="11" width="8.7109375" style="26" bestFit="1" customWidth="1"/>
    <col min="12" max="12" width="7.00390625" style="26" bestFit="1" customWidth="1"/>
    <col min="13" max="13" width="8.57421875" style="26" bestFit="1" customWidth="1"/>
    <col min="14" max="14" width="6.8515625" style="26" bestFit="1" customWidth="1"/>
    <col min="15" max="16" width="10.140625" style="26" customWidth="1"/>
    <col min="17" max="16384" width="10.28125" style="26" customWidth="1"/>
  </cols>
  <sheetData>
    <row r="1" spans="1:9" ht="15.75">
      <c r="A1" s="38" t="str">
        <f>'Reinf S.S.'!A1</f>
        <v>Created By:</v>
      </c>
      <c r="B1" s="72" t="str">
        <f>'Reinf S.S.'!B1:E1</f>
        <v>XXXXXXXXX</v>
      </c>
      <c r="C1" s="73"/>
      <c r="D1" s="73"/>
      <c r="E1" s="73"/>
      <c r="F1" s="16"/>
      <c r="G1" s="67" t="s">
        <v>105</v>
      </c>
      <c r="H1" s="67"/>
      <c r="I1" s="67"/>
    </row>
    <row r="2" spans="1:9" ht="15">
      <c r="A2" s="38" t="str">
        <f>'Reinf S.S.'!A2</f>
        <v>Date Created:</v>
      </c>
      <c r="B2" s="74" t="str">
        <f>'Reinf S.S.'!B2:E2</f>
        <v>MM/DD/YYYY</v>
      </c>
      <c r="C2" s="73"/>
      <c r="D2" s="73"/>
      <c r="E2" s="73"/>
      <c r="F2" s="16"/>
      <c r="G2" s="28" t="s">
        <v>89</v>
      </c>
      <c r="H2" s="29" t="s">
        <v>93</v>
      </c>
      <c r="I2" s="30" t="s">
        <v>96</v>
      </c>
    </row>
    <row r="3" spans="1:9" ht="20.25" thickBot="1">
      <c r="A3" s="38" t="str">
        <f>'Reinf S.S.'!A3</f>
        <v>Project #</v>
      </c>
      <c r="B3" s="72" t="str">
        <f>'Reinf S.S.'!B3:E3</f>
        <v>XXXXXXXXX</v>
      </c>
      <c r="C3" s="72"/>
      <c r="D3" s="72"/>
      <c r="E3" s="72"/>
      <c r="F3" s="16"/>
      <c r="G3" s="31" t="s">
        <v>90</v>
      </c>
      <c r="H3" s="27" t="s">
        <v>94</v>
      </c>
      <c r="I3" s="32" t="s">
        <v>97</v>
      </c>
    </row>
    <row r="4" spans="1:9" ht="18.75" thickBot="1" thickTop="1">
      <c r="A4" s="38" t="str">
        <f>'Reinf S.S.'!A4</f>
        <v>Sub Account #</v>
      </c>
      <c r="B4" s="75" t="str">
        <f>'Reinf S.S.'!B4:E4</f>
        <v>XXXXX</v>
      </c>
      <c r="C4" s="75"/>
      <c r="D4" s="75"/>
      <c r="E4" s="75"/>
      <c r="F4" s="16"/>
      <c r="G4" s="33" t="s">
        <v>91</v>
      </c>
      <c r="H4" s="34" t="s">
        <v>95</v>
      </c>
      <c r="I4" s="35" t="s">
        <v>98</v>
      </c>
    </row>
    <row r="5" spans="1:9" ht="15.75" thickTop="1">
      <c r="A5" s="38" t="str">
        <f>'Reinf S.S.'!A5</f>
        <v>Structure #</v>
      </c>
      <c r="B5" s="72" t="str">
        <f>'Reinf S.S.'!B5:E5</f>
        <v>X-XX-XX</v>
      </c>
      <c r="C5" s="72"/>
      <c r="D5" s="72"/>
      <c r="E5" s="72"/>
      <c r="F5" s="16"/>
      <c r="G5" s="36" t="s">
        <v>92</v>
      </c>
      <c r="H5" s="37" t="s">
        <v>73</v>
      </c>
      <c r="I5" s="64" t="s">
        <v>111</v>
      </c>
    </row>
    <row r="6" spans="5:6" ht="12.75">
      <c r="E6" s="8"/>
      <c r="F6" s="10"/>
    </row>
    <row r="7" spans="1:6" ht="12.75">
      <c r="A7" s="7"/>
      <c r="B7" s="16"/>
      <c r="C7" s="8"/>
      <c r="D7" s="10"/>
      <c r="E7" s="8"/>
      <c r="F7" s="10"/>
    </row>
    <row r="8" spans="1:14" ht="12.75" hidden="1">
      <c r="A8" s="9"/>
      <c r="B8" s="16"/>
      <c r="C8" s="50" t="s">
        <v>110</v>
      </c>
      <c r="D8" s="47">
        <v>3</v>
      </c>
      <c r="E8" s="47">
        <v>4</v>
      </c>
      <c r="F8" s="47">
        <v>5</v>
      </c>
      <c r="G8" s="47">
        <v>6</v>
      </c>
      <c r="H8" s="47">
        <v>7</v>
      </c>
      <c r="I8" s="47">
        <v>8</v>
      </c>
      <c r="J8" s="47">
        <v>9</v>
      </c>
      <c r="K8" s="47">
        <v>10</v>
      </c>
      <c r="L8" s="47">
        <v>11</v>
      </c>
      <c r="M8" s="16"/>
      <c r="N8" s="10"/>
    </row>
    <row r="9" spans="1:14" ht="12.75" hidden="1">
      <c r="A9" s="3"/>
      <c r="B9" s="16"/>
      <c r="C9" s="50" t="s">
        <v>109</v>
      </c>
      <c r="D9" s="48">
        <v>0.376</v>
      </c>
      <c r="E9" s="48">
        <v>0.668</v>
      </c>
      <c r="F9" s="48">
        <v>1.043</v>
      </c>
      <c r="G9" s="48">
        <v>1.502</v>
      </c>
      <c r="H9" s="48">
        <v>2.044</v>
      </c>
      <c r="I9" s="48">
        <v>2.67</v>
      </c>
      <c r="J9" s="48">
        <v>3.4</v>
      </c>
      <c r="K9" s="48">
        <v>4.303</v>
      </c>
      <c r="L9" s="48">
        <v>5.313</v>
      </c>
      <c r="M9" s="16"/>
      <c r="N9" s="16"/>
    </row>
    <row r="10" spans="1:6" ht="15">
      <c r="A10" s="39" t="s">
        <v>68</v>
      </c>
      <c r="B10" s="16"/>
      <c r="C10" s="8"/>
      <c r="D10" s="16"/>
      <c r="E10" s="8"/>
      <c r="F10" s="10"/>
    </row>
    <row r="11" spans="1:6" ht="15">
      <c r="A11" s="39" t="s">
        <v>103</v>
      </c>
      <c r="B11" s="11"/>
      <c r="C11" s="8"/>
      <c r="D11" s="16"/>
      <c r="E11" s="16"/>
      <c r="F11" s="16"/>
    </row>
    <row r="12" spans="1:6" ht="15">
      <c r="A12" s="39"/>
      <c r="B12" s="11"/>
      <c r="C12" s="8"/>
      <c r="D12" s="16"/>
      <c r="E12" s="16"/>
      <c r="F12" s="16"/>
    </row>
    <row r="13" spans="1:6" ht="15">
      <c r="A13" s="39"/>
      <c r="B13" s="11"/>
      <c r="C13" s="8"/>
      <c r="D13" s="16"/>
      <c r="E13" s="16"/>
      <c r="F13" s="16"/>
    </row>
    <row r="14" spans="1:6" ht="15">
      <c r="A14" s="39"/>
      <c r="B14" s="11"/>
      <c r="C14" s="8"/>
      <c r="D14" s="16"/>
      <c r="E14" s="16"/>
      <c r="F14" s="16"/>
    </row>
    <row r="15" spans="3:14" s="16" customFormat="1" ht="12.75">
      <c r="C15" s="8"/>
      <c r="G15" s="26"/>
      <c r="H15" s="26"/>
      <c r="I15" s="26"/>
      <c r="J15" s="26"/>
      <c r="K15" s="26"/>
      <c r="L15" s="26"/>
      <c r="M15" s="26"/>
      <c r="N15" s="26"/>
    </row>
    <row r="16" spans="1:14" s="16" customFormat="1" ht="18" thickBot="1">
      <c r="A16" s="68" t="s">
        <v>220</v>
      </c>
      <c r="B16" s="68"/>
      <c r="C16" s="68"/>
      <c r="D16" s="68"/>
      <c r="G16" s="26"/>
      <c r="H16" s="26"/>
      <c r="I16" s="26"/>
      <c r="J16" s="26"/>
      <c r="K16" s="26"/>
      <c r="L16" s="26"/>
      <c r="M16" s="26"/>
      <c r="N16" s="26"/>
    </row>
    <row r="17" spans="3:14" s="16" customFormat="1" ht="13.5" thickTop="1">
      <c r="C17" s="8"/>
      <c r="G17" s="26"/>
      <c r="H17" s="26"/>
      <c r="I17" s="26"/>
      <c r="J17" s="26"/>
      <c r="K17" s="26"/>
      <c r="L17" s="26"/>
      <c r="M17" s="26"/>
      <c r="N17" s="26"/>
    </row>
    <row r="18" spans="1:13" s="16" customFormat="1" ht="12.75">
      <c r="A18" s="22"/>
      <c r="B18" s="45" t="s">
        <v>17</v>
      </c>
      <c r="C18" s="22"/>
      <c r="D18" s="22"/>
      <c r="E18" s="22"/>
      <c r="F18" s="22"/>
      <c r="G18" s="22"/>
      <c r="H18" s="45" t="s">
        <v>107</v>
      </c>
      <c r="I18" s="22" t="s">
        <v>70</v>
      </c>
      <c r="J18" s="45" t="s">
        <v>107</v>
      </c>
      <c r="K18" s="22" t="s">
        <v>70</v>
      </c>
      <c r="L18" s="22"/>
      <c r="M18" s="22"/>
    </row>
    <row r="19" spans="1:13" s="16" customFormat="1" ht="12.75">
      <c r="A19" s="22"/>
      <c r="B19" s="22" t="s">
        <v>100</v>
      </c>
      <c r="C19" s="22" t="s">
        <v>71</v>
      </c>
      <c r="D19" s="22" t="s">
        <v>72</v>
      </c>
      <c r="E19" s="22" t="s">
        <v>71</v>
      </c>
      <c r="F19" s="22" t="s">
        <v>71</v>
      </c>
      <c r="G19" s="22" t="s">
        <v>71</v>
      </c>
      <c r="H19" s="22" t="s">
        <v>73</v>
      </c>
      <c r="I19" s="22" t="s">
        <v>73</v>
      </c>
      <c r="J19" s="22" t="s">
        <v>73</v>
      </c>
      <c r="K19" s="22" t="s">
        <v>73</v>
      </c>
      <c r="L19" s="22"/>
      <c r="M19" s="45" t="s">
        <v>71</v>
      </c>
    </row>
    <row r="20" spans="1:13" s="16" customFormat="1" ht="12.75">
      <c r="A20" s="46" t="s">
        <v>12</v>
      </c>
      <c r="B20" s="46" t="s">
        <v>26</v>
      </c>
      <c r="C20" s="46" t="s">
        <v>74</v>
      </c>
      <c r="D20" s="46" t="s">
        <v>75</v>
      </c>
      <c r="E20" s="46" t="s">
        <v>76</v>
      </c>
      <c r="F20" s="46" t="s">
        <v>77</v>
      </c>
      <c r="G20" s="46" t="s">
        <v>78</v>
      </c>
      <c r="H20" s="46" t="s">
        <v>77</v>
      </c>
      <c r="I20" s="46" t="s">
        <v>77</v>
      </c>
      <c r="J20" s="46" t="s">
        <v>79</v>
      </c>
      <c r="K20" s="46" t="s">
        <v>79</v>
      </c>
      <c r="L20" s="46" t="s">
        <v>79</v>
      </c>
      <c r="M20" s="46" t="s">
        <v>77</v>
      </c>
    </row>
    <row r="21" spans="1:13" s="16" customFormat="1" ht="18" thickBot="1">
      <c r="A21" s="25" t="s">
        <v>222</v>
      </c>
      <c r="C21" s="15"/>
      <c r="D21" s="15"/>
      <c r="F21" s="14"/>
      <c r="G21" s="15"/>
      <c r="I21" s="17"/>
      <c r="J21" s="18"/>
      <c r="K21" s="18"/>
      <c r="L21" s="19"/>
      <c r="M21" s="20"/>
    </row>
    <row r="22" spans="1:13" s="16" customFormat="1" ht="15.75" thickTop="1">
      <c r="A22" s="40" t="s">
        <v>224</v>
      </c>
      <c r="B22" s="49" t="s">
        <v>26</v>
      </c>
      <c r="C22" s="44">
        <v>6</v>
      </c>
      <c r="D22" s="44">
        <v>12</v>
      </c>
      <c r="E22" s="44"/>
      <c r="F22" s="44" t="s">
        <v>225</v>
      </c>
      <c r="G22" s="44" t="s">
        <v>15</v>
      </c>
      <c r="H22" s="23">
        <f>IF($B22="E",$D22*$M22,0)</f>
        <v>0</v>
      </c>
      <c r="I22" s="41">
        <f>IF($B22="E",0,$D22*$M22)</f>
        <v>98</v>
      </c>
      <c r="J22" s="42">
        <f>$H22*$L22</f>
        <v>0</v>
      </c>
      <c r="K22" s="63">
        <f>$I22*$L22</f>
        <v>147.196</v>
      </c>
      <c r="L22" s="43">
        <f>IF($B22="E",LOOKUP(C22,$D$8:$L$8,$D$9:$L$9),LOOKUP(C22,$D$8:$L$8,$D$9:$L$9))</f>
        <v>1.502</v>
      </c>
      <c r="M22" s="43">
        <f>(LEFT(F22,(FIND("'",F22)-1)))+((MID(F22,FIND("-",F22)+1,((FIND("""",F22)-(FIND("-",F22))-1))))/12)</f>
        <v>8.166666666666666</v>
      </c>
    </row>
    <row r="23" spans="1:13" s="16" customFormat="1" ht="15">
      <c r="A23" s="40" t="s">
        <v>226</v>
      </c>
      <c r="B23" s="49" t="s">
        <v>26</v>
      </c>
      <c r="C23" s="44">
        <v>9</v>
      </c>
      <c r="D23" s="44">
        <v>247</v>
      </c>
      <c r="E23" s="44" t="s">
        <v>115</v>
      </c>
      <c r="F23" s="44" t="s">
        <v>227</v>
      </c>
      <c r="G23" s="44" t="s">
        <v>117</v>
      </c>
      <c r="H23" s="23">
        <f>IF($B23="E",$D23*$M23,0)</f>
        <v>0</v>
      </c>
      <c r="I23" s="41">
        <f>IF($B23="E",0,$D23*$M23)</f>
        <v>1852.5</v>
      </c>
      <c r="J23" s="42">
        <f>$H23*$L23</f>
        <v>0</v>
      </c>
      <c r="K23" s="63">
        <f>$I23*$L23</f>
        <v>6298.5</v>
      </c>
      <c r="L23" s="43">
        <f>IF($B23="E",LOOKUP(C23,$D$8:$L$8,$D$9:$L$9),LOOKUP(C23,$D$8:$L$8,$D$9:$L$9))</f>
        <v>3.4</v>
      </c>
      <c r="M23" s="43">
        <f>(LEFT(F23,(FIND("'",F23)-1)))+((MID(F23,FIND("-",F23)+1,((FIND("""",F23)-(FIND("-",F23))-1))))/12)</f>
        <v>7.5</v>
      </c>
    </row>
    <row r="24" spans="1:13" s="16" customFormat="1" ht="15">
      <c r="A24" s="40" t="s">
        <v>228</v>
      </c>
      <c r="B24" s="49" t="s">
        <v>26</v>
      </c>
      <c r="C24" s="44">
        <v>6</v>
      </c>
      <c r="D24" s="44">
        <v>12</v>
      </c>
      <c r="E24" s="44"/>
      <c r="F24" s="44" t="s">
        <v>232</v>
      </c>
      <c r="G24" s="44" t="s">
        <v>117</v>
      </c>
      <c r="H24" s="23">
        <f>IF($B24="E",$D24*$M24,0)</f>
        <v>0</v>
      </c>
      <c r="I24" s="41">
        <f>IF($B24="E",0,$D24*$M24)</f>
        <v>1583</v>
      </c>
      <c r="J24" s="42">
        <f>$H24*$L24</f>
        <v>0</v>
      </c>
      <c r="K24" s="63">
        <f>$I24*$L24</f>
        <v>2377.666</v>
      </c>
      <c r="L24" s="43">
        <f>IF($B24="E",LOOKUP(C24,$D$8:$L$8,$D$9:$L$9),LOOKUP(C24,$D$8:$L$8,$D$9:$L$9))</f>
        <v>1.502</v>
      </c>
      <c r="M24" s="43">
        <f>(LEFT(F24,(FIND("'",F24)-1)))+((MID(F24,FIND("-",F24)+1,((FIND("""",F24)-(FIND("-",F24))-1))))/12)</f>
        <v>131.91666666666666</v>
      </c>
    </row>
    <row r="25" spans="1:13" s="16" customFormat="1" ht="15">
      <c r="A25" s="40" t="s">
        <v>184</v>
      </c>
      <c r="B25" s="49" t="s">
        <v>26</v>
      </c>
      <c r="C25" s="44">
        <v>9</v>
      </c>
      <c r="D25" s="44">
        <v>10</v>
      </c>
      <c r="E25" s="44"/>
      <c r="F25" s="44" t="s">
        <v>229</v>
      </c>
      <c r="G25" s="44" t="s">
        <v>117</v>
      </c>
      <c r="H25" s="23">
        <f>IF($B25="E",$D25*$M25,0)</f>
        <v>0</v>
      </c>
      <c r="I25" s="41">
        <f>IF($B25="E",0,$D25*$M25)</f>
        <v>1266.6666666666667</v>
      </c>
      <c r="J25" s="42">
        <f>$H25*$L25</f>
        <v>0</v>
      </c>
      <c r="K25" s="63">
        <f>$I25*$L25</f>
        <v>4306.666666666667</v>
      </c>
      <c r="L25" s="43">
        <f>IF($B25="E",LOOKUP(C25,$D$8:$L$8,$D$9:$L$9),LOOKUP(C25,$D$8:$L$8,$D$9:$L$9))</f>
        <v>3.4</v>
      </c>
      <c r="M25" s="43">
        <f>(LEFT(F25,(FIND("'",F25)-1)))+((MID(F25,FIND("-",F25)+1,((FIND("""",F25)-(FIND("-",F25))-1))))/12)</f>
        <v>126.66666666666667</v>
      </c>
    </row>
    <row r="26" spans="1:13" s="16" customFormat="1" ht="15">
      <c r="A26" s="40" t="s">
        <v>208</v>
      </c>
      <c r="B26" s="49" t="s">
        <v>26</v>
      </c>
      <c r="C26" s="44">
        <v>9</v>
      </c>
      <c r="D26" s="44">
        <v>10</v>
      </c>
      <c r="E26" s="44"/>
      <c r="F26" s="44" t="s">
        <v>229</v>
      </c>
      <c r="G26" s="44" t="s">
        <v>117</v>
      </c>
      <c r="H26" s="23">
        <f>IF($B26="E",$D26*$M26,0)</f>
        <v>0</v>
      </c>
      <c r="I26" s="41">
        <f>IF($B26="E",0,$D26*$M26)</f>
        <v>1266.6666666666667</v>
      </c>
      <c r="J26" s="42">
        <f>$H26*$L26</f>
        <v>0</v>
      </c>
      <c r="K26" s="63">
        <f>$I26*$L26</f>
        <v>4306.666666666667</v>
      </c>
      <c r="L26" s="43">
        <f>IF($B26="E",LOOKUP(C26,$D$8:$L$8,$D$9:$L$9),LOOKUP(C26,$D$8:$L$8,$D$9:$L$9))</f>
        <v>3.4</v>
      </c>
      <c r="M26" s="43">
        <f>(LEFT(F26,(FIND("'",F26)-1)))+((MID(F26,FIND("-",F26)+1,((FIND("""",F26)-(FIND("-",F26))-1))))/12)</f>
        <v>126.66666666666667</v>
      </c>
    </row>
    <row r="27" spans="1:13" s="16" customFormat="1" ht="15">
      <c r="A27" s="40" t="s">
        <v>230</v>
      </c>
      <c r="B27" s="49" t="s">
        <v>26</v>
      </c>
      <c r="C27" s="44">
        <v>5</v>
      </c>
      <c r="D27" s="44">
        <v>255</v>
      </c>
      <c r="E27" s="44" t="s">
        <v>115</v>
      </c>
      <c r="F27" s="44" t="s">
        <v>231</v>
      </c>
      <c r="G27" s="44" t="s">
        <v>161</v>
      </c>
      <c r="H27" s="23">
        <f>IF($B27="E",$D27*$M27,0)</f>
        <v>0</v>
      </c>
      <c r="I27" s="41">
        <f>IF($B27="E",0,$D27*$M27)</f>
        <v>11836.25</v>
      </c>
      <c r="J27" s="42">
        <f>$H27*$L27</f>
        <v>0</v>
      </c>
      <c r="K27" s="63">
        <f>$I27*$L27</f>
        <v>12345.20875</v>
      </c>
      <c r="L27" s="43">
        <f>IF($B27="E",LOOKUP(C27,$D$8:$L$8,$D$9:$L$9),LOOKUP(C27,$D$8:$L$8,$D$9:$L$9))</f>
        <v>1.043</v>
      </c>
      <c r="M27" s="43">
        <f>(LEFT(F27,(FIND("'",F27)-1)))+((MID(F27,FIND("-",F27)+1,((FIND("""",F27)-(FIND("-",F27))-1))))/12)</f>
        <v>46.416666666666664</v>
      </c>
    </row>
    <row r="28" spans="1:13" s="16" customFormat="1" ht="18" thickBot="1">
      <c r="A28" s="25" t="s">
        <v>223</v>
      </c>
      <c r="C28" s="15"/>
      <c r="D28" s="15"/>
      <c r="F28" s="14"/>
      <c r="G28" s="15"/>
      <c r="I28" s="17"/>
      <c r="J28" s="18"/>
      <c r="K28" s="18"/>
      <c r="L28" s="19"/>
      <c r="M28" s="20"/>
    </row>
    <row r="29" spans="1:13" s="16" customFormat="1" ht="15.75" thickTop="1">
      <c r="A29" s="40" t="s">
        <v>233</v>
      </c>
      <c r="B29" s="49" t="s">
        <v>26</v>
      </c>
      <c r="C29" s="44">
        <v>5</v>
      </c>
      <c r="D29" s="44">
        <v>161</v>
      </c>
      <c r="E29" s="44" t="s">
        <v>115</v>
      </c>
      <c r="F29" s="44" t="s">
        <v>234</v>
      </c>
      <c r="G29" s="44" t="s">
        <v>172</v>
      </c>
      <c r="H29" s="23">
        <f>IF($B29="E",$D29*$M29,0)</f>
        <v>0</v>
      </c>
      <c r="I29" s="41">
        <f>IF($B29="E",0,$D29*$M29)</f>
        <v>2113.125</v>
      </c>
      <c r="J29" s="42">
        <f>$H29*$L29</f>
        <v>0</v>
      </c>
      <c r="K29" s="63">
        <f>$I29*$L29</f>
        <v>2203.9893749999997</v>
      </c>
      <c r="L29" s="43">
        <f>IF($B29="E",LOOKUP(C29,$D$8:$L$8,$D$9:$L$9),LOOKUP(C29,$D$8:$L$8,$D$9:$L$9))</f>
        <v>1.043</v>
      </c>
      <c r="M29" s="43">
        <f>(LEFT(F29,(FIND("'",F29)-1)))+((MID(F29,FIND("-",F29)+1,((FIND("""",F29)-(FIND("-",F29))-1))))/12)</f>
        <v>13.125</v>
      </c>
    </row>
    <row r="30" spans="1:13" s="16" customFormat="1" ht="15">
      <c r="A30" s="40" t="s">
        <v>235</v>
      </c>
      <c r="B30" s="49" t="s">
        <v>26</v>
      </c>
      <c r="C30" s="44">
        <v>9</v>
      </c>
      <c r="D30" s="44">
        <v>196</v>
      </c>
      <c r="E30" s="44"/>
      <c r="F30" s="44" t="s">
        <v>236</v>
      </c>
      <c r="G30" s="44" t="s">
        <v>117</v>
      </c>
      <c r="H30" s="23">
        <f>IF($B30="E",$D30*$M30,0)</f>
        <v>0</v>
      </c>
      <c r="I30" s="41">
        <f>IF($B30="E",0,$D30*$M30)</f>
        <v>2907.3333333333335</v>
      </c>
      <c r="J30" s="42">
        <f>$H30*$L30</f>
        <v>0</v>
      </c>
      <c r="K30" s="63">
        <f>$I30*$L30</f>
        <v>9884.933333333334</v>
      </c>
      <c r="L30" s="43">
        <f>IF($B30="E",LOOKUP(C30,$D$8:$L$8,$D$9:$L$9),LOOKUP(C30,$D$8:$L$8,$D$9:$L$9))</f>
        <v>3.4</v>
      </c>
      <c r="M30" s="43">
        <f>(LEFT(F30,(FIND("'",F30)-1)))+((MID(F30,FIND("-",F30)+1,((FIND("""",F30)-(FIND("-",F30))-1))))/12)</f>
        <v>14.833333333333334</v>
      </c>
    </row>
    <row r="31" spans="3:16" s="16" customFormat="1" ht="12">
      <c r="C31" s="15"/>
      <c r="D31" s="15"/>
      <c r="F31" s="14"/>
      <c r="G31" s="15"/>
      <c r="H31" s="13"/>
      <c r="I31" s="13"/>
      <c r="J31" s="14"/>
      <c r="L31" s="17"/>
      <c r="M31" s="18"/>
      <c r="N31" s="18"/>
      <c r="O31" s="19"/>
      <c r="P31" s="20"/>
    </row>
    <row r="32" spans="3:16" s="16" customFormat="1" ht="12">
      <c r="C32" s="15"/>
      <c r="D32" s="15"/>
      <c r="F32" s="14"/>
      <c r="G32" s="15"/>
      <c r="H32" s="13"/>
      <c r="I32" s="13"/>
      <c r="J32" s="14"/>
      <c r="L32" s="17"/>
      <c r="M32" s="18"/>
      <c r="N32" s="18"/>
      <c r="O32" s="19"/>
      <c r="P32" s="20"/>
    </row>
    <row r="33" spans="3:16" s="16" customFormat="1" ht="12.75">
      <c r="C33" s="15"/>
      <c r="D33" s="15"/>
      <c r="F33" s="14"/>
      <c r="G33" s="15"/>
      <c r="H33" s="13"/>
      <c r="I33" s="13"/>
      <c r="J33" s="14"/>
      <c r="L33" s="21"/>
      <c r="M33" s="18"/>
      <c r="N33" s="18"/>
      <c r="O33" s="19"/>
      <c r="P33" s="20"/>
    </row>
    <row r="34" spans="5:11" ht="18" thickBot="1">
      <c r="E34" s="68" t="s">
        <v>221</v>
      </c>
      <c r="F34" s="68"/>
      <c r="G34" s="68"/>
      <c r="H34" s="68"/>
      <c r="I34" s="68"/>
      <c r="J34" s="68"/>
      <c r="K34" s="68"/>
    </row>
    <row r="35" spans="5:12" ht="18.75" thickBot="1" thickTop="1">
      <c r="E35" s="71" t="s">
        <v>106</v>
      </c>
      <c r="F35" s="71"/>
      <c r="G35" s="71"/>
      <c r="H35" s="57"/>
      <c r="I35" s="71" t="s">
        <v>101</v>
      </c>
      <c r="J35" s="71"/>
      <c r="K35" s="71"/>
      <c r="L35" s="56"/>
    </row>
    <row r="36" spans="5:11" ht="13.5" thickTop="1">
      <c r="E36" s="51" t="s">
        <v>73</v>
      </c>
      <c r="F36" s="58" t="s">
        <v>71</v>
      </c>
      <c r="G36" s="61" t="s">
        <v>73</v>
      </c>
      <c r="H36" s="52"/>
      <c r="I36" s="51" t="s">
        <v>73</v>
      </c>
      <c r="J36" s="61" t="s">
        <v>71</v>
      </c>
      <c r="K36" s="53" t="s">
        <v>73</v>
      </c>
    </row>
    <row r="37" spans="5:11" ht="12.75">
      <c r="E37" s="51" t="s">
        <v>77</v>
      </c>
      <c r="F37" s="51" t="s">
        <v>74</v>
      </c>
      <c r="G37" s="60" t="s">
        <v>79</v>
      </c>
      <c r="H37" s="52"/>
      <c r="I37" s="51" t="s">
        <v>77</v>
      </c>
      <c r="J37" s="51" t="s">
        <v>74</v>
      </c>
      <c r="K37" s="60" t="s">
        <v>79</v>
      </c>
    </row>
    <row r="38" spans="5:11" ht="15">
      <c r="E38" s="54">
        <f>SUMIF($C$22:$C$33,"=3",$H$22:$H$33)</f>
        <v>0</v>
      </c>
      <c r="F38" s="59" t="s">
        <v>102</v>
      </c>
      <c r="G38" s="55">
        <f>SUMIF($C$22:$C$33,"=3",$J$22:$J$33)</f>
        <v>0</v>
      </c>
      <c r="H38" s="56"/>
      <c r="I38" s="65">
        <f>SUMIF($C$22:$C$33,"=3",$I$22:$I$33)</f>
        <v>0</v>
      </c>
      <c r="J38" s="59" t="s">
        <v>102</v>
      </c>
      <c r="K38" s="55">
        <f>SUMIF($C$22:$C$33,"=3",$K$22:$K$33)</f>
        <v>0</v>
      </c>
    </row>
    <row r="39" spans="5:11" ht="15">
      <c r="E39" s="54">
        <f>SUMIF($C$22:$C$33,"=4",$H$22:$H$33)</f>
        <v>0</v>
      </c>
      <c r="F39" s="52" t="s">
        <v>81</v>
      </c>
      <c r="G39" s="55">
        <f>SUMIF($C$22:$C$33,"=4",$J$22:$J$33)</f>
        <v>0</v>
      </c>
      <c r="H39" s="56"/>
      <c r="I39" s="65">
        <f>SUMIF($C$22:$C$33,"=4",$I$22:$I$33)</f>
        <v>0</v>
      </c>
      <c r="J39" s="52" t="s">
        <v>81</v>
      </c>
      <c r="K39" s="55">
        <f>SUMIF($C$22:$C$33,"=4",$K$22:$K$33)</f>
        <v>0</v>
      </c>
    </row>
    <row r="40" spans="5:11" ht="15">
      <c r="E40" s="54">
        <f>SUMIF($C$22:$C$33,"=5",$H$22:$H$33)</f>
        <v>0</v>
      </c>
      <c r="F40" s="52" t="s">
        <v>82</v>
      </c>
      <c r="G40" s="55">
        <f>SUMIF($C$22:$C$33,"=5",$J$22:$J$33)</f>
        <v>0</v>
      </c>
      <c r="H40" s="56"/>
      <c r="I40" s="65">
        <f>SUMIF($C$22:$C$33,"=5",$I$22:$I$33)</f>
        <v>13949.375</v>
      </c>
      <c r="J40" s="52" t="s">
        <v>82</v>
      </c>
      <c r="K40" s="55">
        <f>SUMIF($C$22:$C$33,"=5",$K$22:$K$33)</f>
        <v>14549.198124999999</v>
      </c>
    </row>
    <row r="41" spans="5:11" ht="15">
      <c r="E41" s="54">
        <f>SUMIF($C$22:$C$33,"=6",$H$22:$H$33)</f>
        <v>0</v>
      </c>
      <c r="F41" s="52" t="s">
        <v>83</v>
      </c>
      <c r="G41" s="55">
        <f>SUMIF($C$22:$C$33,"=6",$J$22:$J$33)</f>
        <v>0</v>
      </c>
      <c r="H41" s="56"/>
      <c r="I41" s="65">
        <f>SUMIF($C$22:$C$33,"=6",$I$22:$I$33)</f>
        <v>1681</v>
      </c>
      <c r="J41" s="52" t="s">
        <v>83</v>
      </c>
      <c r="K41" s="55">
        <f>SUMIF($C$22:$C$33,"=6",$K$22:$K$33)</f>
        <v>2524.862</v>
      </c>
    </row>
    <row r="42" spans="5:11" ht="15">
      <c r="E42" s="54">
        <f>SUMIF($C$22:$C$33,"=7",$H$22:$H$33)</f>
        <v>0</v>
      </c>
      <c r="F42" s="52" t="s">
        <v>84</v>
      </c>
      <c r="G42" s="55">
        <f>SUMIF($C$22:$C$33,"=7",$J$22:$J$33)</f>
        <v>0</v>
      </c>
      <c r="H42" s="56"/>
      <c r="I42" s="65">
        <f>SUMIF($C$22:$C$33,"=7",$I$22:$I$33)</f>
        <v>0</v>
      </c>
      <c r="J42" s="52" t="s">
        <v>84</v>
      </c>
      <c r="K42" s="55">
        <f>SUMIF($C$22:$C$33,"=7",$K$22:$K$33)</f>
        <v>0</v>
      </c>
    </row>
    <row r="43" spans="5:11" ht="15">
      <c r="E43" s="54">
        <f>SUMIF($C$22:$C$33,"=8",$H$22:$H$33)</f>
        <v>0</v>
      </c>
      <c r="F43" s="52" t="s">
        <v>85</v>
      </c>
      <c r="G43" s="55">
        <f>SUMIF($C$22:$C$33,"=8",$J$22:$J$33)</f>
        <v>0</v>
      </c>
      <c r="H43" s="56"/>
      <c r="I43" s="65">
        <f>SUMIF($C$22:$C$33,"=8",$I$22:$I$33)</f>
        <v>0</v>
      </c>
      <c r="J43" s="52" t="s">
        <v>85</v>
      </c>
      <c r="K43" s="55">
        <f>SUMIF($C$22:$C$33,"=8",$K$22:$K$33)</f>
        <v>0</v>
      </c>
    </row>
    <row r="44" spans="5:11" ht="15">
      <c r="E44" s="54">
        <f>SUMIF($C$22:$C$33,"=9",$H$22:$H$33)</f>
        <v>0</v>
      </c>
      <c r="F44" s="52" t="s">
        <v>86</v>
      </c>
      <c r="G44" s="55">
        <f>SUMIF($C$22:$C$33,"=9",$J$22:$J$33)</f>
        <v>0</v>
      </c>
      <c r="H44" s="56"/>
      <c r="I44" s="65">
        <f>SUMIF($C$22:$C$33,"=9",$I$22:$I$33)</f>
        <v>7293.166666666668</v>
      </c>
      <c r="J44" s="52" t="s">
        <v>86</v>
      </c>
      <c r="K44" s="55">
        <f>SUMIF($C$22:$C$33,"=9",$K$22:$K$33)</f>
        <v>24796.76666666667</v>
      </c>
    </row>
    <row r="45" spans="5:11" ht="15">
      <c r="E45" s="54">
        <f>SUMIF($C$22:$C$33,"=10",$H$22:$H$33)</f>
        <v>0</v>
      </c>
      <c r="F45" s="52" t="s">
        <v>87</v>
      </c>
      <c r="G45" s="55">
        <f>SUMIF($C$22:$C$33,"=10",$J$22:$J$33)</f>
        <v>0</v>
      </c>
      <c r="H45" s="56"/>
      <c r="I45" s="65">
        <f>SUMIF($C$22:$C$33,"=10",$I$22:$I$33)</f>
        <v>0</v>
      </c>
      <c r="J45" s="52" t="s">
        <v>87</v>
      </c>
      <c r="K45" s="55">
        <f>SUMIF($C$22:$C$33,"=10",$K$22:$K$33)</f>
        <v>0</v>
      </c>
    </row>
    <row r="46" spans="5:11" ht="15">
      <c r="E46" s="54">
        <f>SUMIF($C$22:$C$33,"=11",$H$22:$H$33)</f>
        <v>0</v>
      </c>
      <c r="F46" s="52" t="s">
        <v>88</v>
      </c>
      <c r="G46" s="55">
        <f>SUMIF($C$22:$C$33,"=11",$J$22:$J$33)</f>
        <v>0</v>
      </c>
      <c r="H46" s="56"/>
      <c r="I46" s="65">
        <f>SUMIF($C$22:$C$33,"=11",$I$22:$I$33)</f>
        <v>0</v>
      </c>
      <c r="J46" s="52" t="s">
        <v>88</v>
      </c>
      <c r="K46" s="55">
        <f>SUMIF($C$22:$C$33,"=11",$K$22:$K$33)</f>
        <v>0</v>
      </c>
    </row>
    <row r="47" spans="5:11" ht="15">
      <c r="E47" s="69" t="s">
        <v>108</v>
      </c>
      <c r="F47" s="70"/>
      <c r="G47" s="62">
        <f>SUM(G38:G46)</f>
        <v>0</v>
      </c>
      <c r="H47" s="56"/>
      <c r="I47" s="69" t="s">
        <v>104</v>
      </c>
      <c r="J47" s="70"/>
      <c r="K47" s="62">
        <f>SUM(K38:K46)</f>
        <v>41870.82679166667</v>
      </c>
    </row>
    <row r="48" ht="12.75">
      <c r="H48" s="56"/>
    </row>
    <row r="50" ht="12.75">
      <c r="A50" s="12"/>
    </row>
  </sheetData>
  <sheetProtection/>
  <mergeCells count="12">
    <mergeCell ref="G1:I1"/>
    <mergeCell ref="A16:D16"/>
    <mergeCell ref="B1:E1"/>
    <mergeCell ref="B2:E2"/>
    <mergeCell ref="B3:E3"/>
    <mergeCell ref="B4:E4"/>
    <mergeCell ref="B5:E5"/>
    <mergeCell ref="E34:K34"/>
    <mergeCell ref="E35:G35"/>
    <mergeCell ref="I35:K35"/>
    <mergeCell ref="E47:F47"/>
    <mergeCell ref="I47:J47"/>
  </mergeCells>
  <dataValidations count="2">
    <dataValidation type="list" allowBlank="1" showInputMessage="1" showErrorMessage="1" sqref="B29:B30 B22:B27">
      <formula1>"E, N"</formula1>
    </dataValidation>
    <dataValidation type="list" allowBlank="1" showInputMessage="1" showErrorMessage="1" sqref="C29:C30 C22:C27">
      <formula1>"3, 4, 5, 6, 7, 8, 9, 10, 11"</formula1>
    </dataValidation>
  </dataValidations>
  <printOptions gridLines="1"/>
  <pageMargins left="0.25" right="0.25" top="0.5" bottom="0.5" header="0.25" footer="0.25"/>
  <pageSetup fitToHeight="0" fitToWidth="1" horizontalDpi="600" verticalDpi="600" orientation="landscape" scale="76" r:id="rId2"/>
  <headerFooter alignWithMargins="0">
    <oddHeader>&amp;C&amp;A&amp;R&amp;D</oddHeader>
    <oddFooter>&amp;CPage &amp;P of &amp;N</oddFooter>
  </headerFooter>
  <rowBreaks count="1" manualBreakCount="1">
    <brk id="32" max="255"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P52"/>
  <sheetViews>
    <sheetView zoomScalePageLayoutView="0" workbookViewId="0" topLeftCell="A1">
      <selection activeCell="P22" sqref="P22"/>
    </sheetView>
  </sheetViews>
  <sheetFormatPr defaultColWidth="10.28125" defaultRowHeight="12.75"/>
  <cols>
    <col min="1" max="1" width="43.8515625" style="26" bestFit="1" customWidth="1"/>
    <col min="2" max="2" width="2.421875" style="26" customWidth="1"/>
    <col min="3" max="3" width="4.7109375" style="26" bestFit="1" customWidth="1"/>
    <col min="4" max="4" width="6.57421875" style="26" bestFit="1" customWidth="1"/>
    <col min="5" max="5" width="8.57421875" style="26" bestFit="1" customWidth="1"/>
    <col min="6" max="6" width="8.7109375" style="26" bestFit="1" customWidth="1"/>
    <col min="7" max="7" width="10.140625" style="26" customWidth="1"/>
    <col min="8" max="8" width="12.00390625" style="26" bestFit="1" customWidth="1"/>
    <col min="9" max="9" width="11.00390625" style="26" bestFit="1" customWidth="1"/>
    <col min="10" max="10" width="9.28125" style="26" bestFit="1" customWidth="1"/>
    <col min="11" max="11" width="8.7109375" style="26" bestFit="1" customWidth="1"/>
    <col min="12" max="12" width="7.00390625" style="26" bestFit="1" customWidth="1"/>
    <col min="13" max="13" width="8.57421875" style="26" bestFit="1" customWidth="1"/>
    <col min="14" max="14" width="6.8515625" style="26" bestFit="1" customWidth="1"/>
    <col min="15" max="16" width="10.140625" style="26" customWidth="1"/>
    <col min="17" max="16384" width="10.28125" style="26" customWidth="1"/>
  </cols>
  <sheetData>
    <row r="1" spans="1:9" ht="15.75">
      <c r="A1" s="38" t="str">
        <f>'Reinf S.S.'!A1</f>
        <v>Created By:</v>
      </c>
      <c r="B1" s="72" t="str">
        <f>'Reinf S.S.'!B1:E1</f>
        <v>XXXXXXXXX</v>
      </c>
      <c r="C1" s="73"/>
      <c r="D1" s="73"/>
      <c r="E1" s="73"/>
      <c r="F1" s="16"/>
      <c r="G1" s="67" t="s">
        <v>105</v>
      </c>
      <c r="H1" s="67"/>
      <c r="I1" s="67"/>
    </row>
    <row r="2" spans="1:9" ht="15">
      <c r="A2" s="38" t="str">
        <f>'Reinf S.S.'!A2</f>
        <v>Date Created:</v>
      </c>
      <c r="B2" s="74" t="str">
        <f>'Reinf S.S.'!B2:E2</f>
        <v>MM/DD/YYYY</v>
      </c>
      <c r="C2" s="76"/>
      <c r="D2" s="76"/>
      <c r="E2" s="76"/>
      <c r="F2" s="16"/>
      <c r="G2" s="28" t="s">
        <v>89</v>
      </c>
      <c r="H2" s="29" t="s">
        <v>93</v>
      </c>
      <c r="I2" s="30" t="s">
        <v>96</v>
      </c>
    </row>
    <row r="3" spans="1:9" ht="20.25" thickBot="1">
      <c r="A3" s="38" t="str">
        <f>'Reinf S.S.'!A3</f>
        <v>Project #</v>
      </c>
      <c r="B3" s="72" t="str">
        <f>'Reinf S.S.'!B3:E3</f>
        <v>XXXXXXXXX</v>
      </c>
      <c r="C3" s="73"/>
      <c r="D3" s="73"/>
      <c r="E3" s="73"/>
      <c r="F3" s="16"/>
      <c r="G3" s="31" t="s">
        <v>90</v>
      </c>
      <c r="H3" s="27" t="s">
        <v>94</v>
      </c>
      <c r="I3" s="32" t="s">
        <v>97</v>
      </c>
    </row>
    <row r="4" spans="1:9" ht="18.75" thickBot="1" thickTop="1">
      <c r="A4" s="38" t="str">
        <f>'Reinf S.S.'!A4</f>
        <v>Sub Account #</v>
      </c>
      <c r="B4" s="75" t="str">
        <f>'Reinf S.S.'!B4:E4</f>
        <v>XXXXX</v>
      </c>
      <c r="C4" s="77"/>
      <c r="D4" s="77"/>
      <c r="E4" s="77"/>
      <c r="F4" s="16"/>
      <c r="G4" s="33" t="s">
        <v>91</v>
      </c>
      <c r="H4" s="34" t="s">
        <v>95</v>
      </c>
      <c r="I4" s="35" t="s">
        <v>98</v>
      </c>
    </row>
    <row r="5" spans="1:9" ht="15.75" thickTop="1">
      <c r="A5" s="38" t="str">
        <f>'Reinf S.S.'!A5</f>
        <v>Structure #</v>
      </c>
      <c r="B5" s="72" t="str">
        <f>'Reinf S.S.'!B5:E5</f>
        <v>X-XX-XX</v>
      </c>
      <c r="C5" s="73"/>
      <c r="D5" s="73"/>
      <c r="E5" s="73"/>
      <c r="F5" s="16"/>
      <c r="G5" s="36" t="s">
        <v>92</v>
      </c>
      <c r="H5" s="37" t="s">
        <v>73</v>
      </c>
      <c r="I5" s="64" t="s">
        <v>111</v>
      </c>
    </row>
    <row r="6" spans="5:6" ht="12.75">
      <c r="E6" s="8"/>
      <c r="F6" s="10"/>
    </row>
    <row r="7" spans="5:6" ht="12.75">
      <c r="E7" s="8"/>
      <c r="F7" s="10"/>
    </row>
    <row r="8" spans="1:6" ht="12.75">
      <c r="A8" s="7"/>
      <c r="B8" s="16"/>
      <c r="C8" s="8"/>
      <c r="D8" s="10"/>
      <c r="E8" s="8"/>
      <c r="F8" s="10"/>
    </row>
    <row r="9" spans="1:14" ht="12.75" hidden="1">
      <c r="A9" s="9"/>
      <c r="B9" s="16"/>
      <c r="C9" s="50" t="s">
        <v>110</v>
      </c>
      <c r="D9" s="47">
        <v>3</v>
      </c>
      <c r="E9" s="47">
        <v>4</v>
      </c>
      <c r="F9" s="47">
        <v>5</v>
      </c>
      <c r="G9" s="47">
        <v>6</v>
      </c>
      <c r="H9" s="47">
        <v>7</v>
      </c>
      <c r="I9" s="47">
        <v>8</v>
      </c>
      <c r="J9" s="47">
        <v>9</v>
      </c>
      <c r="K9" s="47">
        <v>10</v>
      </c>
      <c r="L9" s="47">
        <v>11</v>
      </c>
      <c r="M9" s="16"/>
      <c r="N9" s="10"/>
    </row>
    <row r="10" spans="1:14" ht="12.75" hidden="1">
      <c r="A10" s="3"/>
      <c r="B10" s="16"/>
      <c r="C10" s="50" t="s">
        <v>109</v>
      </c>
      <c r="D10" s="48">
        <v>0.376</v>
      </c>
      <c r="E10" s="48">
        <v>0.668</v>
      </c>
      <c r="F10" s="48">
        <v>1.043</v>
      </c>
      <c r="G10" s="48">
        <v>1.502</v>
      </c>
      <c r="H10" s="48">
        <v>2.044</v>
      </c>
      <c r="I10" s="48">
        <v>2.67</v>
      </c>
      <c r="J10" s="48">
        <v>3.4</v>
      </c>
      <c r="K10" s="48">
        <v>4.303</v>
      </c>
      <c r="L10" s="48">
        <v>5.313</v>
      </c>
      <c r="M10" s="16"/>
      <c r="N10" s="16"/>
    </row>
    <row r="11" spans="1:6" ht="15">
      <c r="A11" s="39" t="s">
        <v>68</v>
      </c>
      <c r="B11" s="16"/>
      <c r="C11" s="8"/>
      <c r="D11" s="16"/>
      <c r="E11" s="8"/>
      <c r="F11" s="10"/>
    </row>
    <row r="12" spans="1:6" ht="15">
      <c r="A12" s="39" t="s">
        <v>103</v>
      </c>
      <c r="B12" s="11"/>
      <c r="C12" s="8"/>
      <c r="D12" s="16"/>
      <c r="E12" s="16"/>
      <c r="F12" s="16"/>
    </row>
    <row r="13" spans="1:6" ht="15">
      <c r="A13" s="39"/>
      <c r="B13" s="11"/>
      <c r="C13" s="8"/>
      <c r="D13" s="16"/>
      <c r="E13" s="16"/>
      <c r="F13" s="16"/>
    </row>
    <row r="14" spans="1:6" ht="15">
      <c r="A14" s="39"/>
      <c r="B14" s="11"/>
      <c r="C14" s="8"/>
      <c r="D14" s="16"/>
      <c r="E14" s="16"/>
      <c r="F14" s="16"/>
    </row>
    <row r="15" spans="1:6" ht="15">
      <c r="A15" s="39"/>
      <c r="B15" s="11"/>
      <c r="C15" s="8"/>
      <c r="D15" s="16"/>
      <c r="E15" s="16"/>
      <c r="F15" s="16"/>
    </row>
    <row r="16" spans="3:14" s="16" customFormat="1" ht="12.75">
      <c r="C16" s="8"/>
      <c r="G16" s="26"/>
      <c r="H16" s="26"/>
      <c r="I16" s="26"/>
      <c r="J16" s="26"/>
      <c r="K16" s="26"/>
      <c r="L16" s="26"/>
      <c r="M16" s="26"/>
      <c r="N16" s="26"/>
    </row>
    <row r="17" spans="1:14" s="16" customFormat="1" ht="18" thickBot="1">
      <c r="A17" s="68" t="s">
        <v>237</v>
      </c>
      <c r="B17" s="68"/>
      <c r="C17" s="68"/>
      <c r="D17" s="68"/>
      <c r="G17" s="26"/>
      <c r="H17" s="26"/>
      <c r="I17" s="26"/>
      <c r="J17" s="26"/>
      <c r="K17" s="26"/>
      <c r="L17" s="26"/>
      <c r="M17" s="26"/>
      <c r="N17" s="26"/>
    </row>
    <row r="18" spans="1:14" s="16" customFormat="1" ht="18.75" thickBot="1" thickTop="1">
      <c r="A18" s="66"/>
      <c r="B18" s="66"/>
      <c r="C18" s="66"/>
      <c r="D18" s="66"/>
      <c r="G18" s="26"/>
      <c r="H18" s="26"/>
      <c r="I18" s="26"/>
      <c r="J18" s="26"/>
      <c r="K18" s="26"/>
      <c r="L18" s="26"/>
      <c r="M18" s="26"/>
      <c r="N18" s="26"/>
    </row>
    <row r="19" spans="3:14" s="16" customFormat="1" ht="13.5" thickTop="1">
      <c r="C19" s="8"/>
      <c r="G19" s="26"/>
      <c r="H19" s="26"/>
      <c r="I19" s="26"/>
      <c r="J19" s="26"/>
      <c r="K19" s="26"/>
      <c r="L19" s="26"/>
      <c r="M19" s="26"/>
      <c r="N19" s="26"/>
    </row>
    <row r="20" spans="1:13" s="16" customFormat="1" ht="12.75">
      <c r="A20" s="22"/>
      <c r="B20" s="45" t="s">
        <v>17</v>
      </c>
      <c r="C20" s="22"/>
      <c r="D20" s="22"/>
      <c r="E20" s="22"/>
      <c r="F20" s="22"/>
      <c r="G20" s="22"/>
      <c r="H20" s="45" t="s">
        <v>107</v>
      </c>
      <c r="I20" s="22" t="s">
        <v>70</v>
      </c>
      <c r="J20" s="45" t="s">
        <v>107</v>
      </c>
      <c r="K20" s="22" t="s">
        <v>70</v>
      </c>
      <c r="L20" s="22"/>
      <c r="M20" s="22"/>
    </row>
    <row r="21" spans="1:13" s="16" customFormat="1" ht="12.75">
      <c r="A21" s="22"/>
      <c r="B21" s="22" t="s">
        <v>100</v>
      </c>
      <c r="C21" s="22" t="s">
        <v>71</v>
      </c>
      <c r="D21" s="22" t="s">
        <v>72</v>
      </c>
      <c r="E21" s="22" t="s">
        <v>71</v>
      </c>
      <c r="F21" s="22" t="s">
        <v>71</v>
      </c>
      <c r="G21" s="22" t="s">
        <v>71</v>
      </c>
      <c r="H21" s="22" t="s">
        <v>73</v>
      </c>
      <c r="I21" s="22" t="s">
        <v>73</v>
      </c>
      <c r="J21" s="22" t="s">
        <v>73</v>
      </c>
      <c r="K21" s="22" t="s">
        <v>73</v>
      </c>
      <c r="L21" s="22"/>
      <c r="M21" s="45" t="s">
        <v>71</v>
      </c>
    </row>
    <row r="22" spans="1:13" s="16" customFormat="1" ht="12.75">
      <c r="A22" s="46" t="s">
        <v>12</v>
      </c>
      <c r="B22" s="46" t="s">
        <v>26</v>
      </c>
      <c r="C22" s="46" t="s">
        <v>74</v>
      </c>
      <c r="D22" s="46" t="s">
        <v>75</v>
      </c>
      <c r="E22" s="46" t="s">
        <v>76</v>
      </c>
      <c r="F22" s="46" t="s">
        <v>77</v>
      </c>
      <c r="G22" s="46" t="s">
        <v>78</v>
      </c>
      <c r="H22" s="46" t="s">
        <v>77</v>
      </c>
      <c r="I22" s="46" t="s">
        <v>77</v>
      </c>
      <c r="J22" s="46" t="s">
        <v>79</v>
      </c>
      <c r="K22" s="46" t="s">
        <v>79</v>
      </c>
      <c r="L22" s="46" t="s">
        <v>79</v>
      </c>
      <c r="M22" s="46" t="s">
        <v>77</v>
      </c>
    </row>
    <row r="23" spans="1:13" s="16" customFormat="1" ht="18" thickBot="1">
      <c r="A23" s="25" t="s">
        <v>222</v>
      </c>
      <c r="C23" s="15"/>
      <c r="D23" s="15"/>
      <c r="F23" s="14"/>
      <c r="G23" s="15"/>
      <c r="I23" s="17"/>
      <c r="J23" s="18"/>
      <c r="K23" s="18"/>
      <c r="L23" s="19"/>
      <c r="M23" s="20"/>
    </row>
    <row r="24" spans="1:13" s="16" customFormat="1" ht="15.75" thickTop="1">
      <c r="A24" s="40" t="s">
        <v>224</v>
      </c>
      <c r="B24" s="49" t="s">
        <v>26</v>
      </c>
      <c r="C24" s="44">
        <v>6</v>
      </c>
      <c r="D24" s="44">
        <v>12</v>
      </c>
      <c r="E24" s="44"/>
      <c r="F24" s="44" t="s">
        <v>225</v>
      </c>
      <c r="G24" s="44" t="s">
        <v>15</v>
      </c>
      <c r="H24" s="23">
        <f>IF($B24="E",$D24*$M24,0)</f>
        <v>0</v>
      </c>
      <c r="I24" s="41">
        <f>IF($B24="E",0,$D24*$M24)</f>
        <v>98</v>
      </c>
      <c r="J24" s="42">
        <f>$H24*$L24</f>
        <v>0</v>
      </c>
      <c r="K24" s="63">
        <f>$I24*$L24</f>
        <v>147.196</v>
      </c>
      <c r="L24" s="43">
        <f>IF($B24="E",LOOKUP(C24,$D$9:$L$9,$D$10:$L$10),LOOKUP(C24,$D$9:$L$9,$D$10:$L$10))</f>
        <v>1.502</v>
      </c>
      <c r="M24" s="43">
        <f aca="true" t="shared" si="0" ref="M24:M29">(LEFT(F24,(FIND("'",F24)-1)))+((MID(F24,FIND("-",F24)+1,((FIND("""",F24)-(FIND("-",F24))-1))))/12)</f>
        <v>8.166666666666666</v>
      </c>
    </row>
    <row r="25" spans="1:13" s="16" customFormat="1" ht="15">
      <c r="A25" s="40" t="s">
        <v>226</v>
      </c>
      <c r="B25" s="49" t="s">
        <v>26</v>
      </c>
      <c r="C25" s="44">
        <v>9</v>
      </c>
      <c r="D25" s="44">
        <v>247</v>
      </c>
      <c r="E25" s="44" t="s">
        <v>115</v>
      </c>
      <c r="F25" s="44" t="s">
        <v>227</v>
      </c>
      <c r="G25" s="44" t="s">
        <v>117</v>
      </c>
      <c r="H25" s="23">
        <f>IF($B25="E",$D25*$M25,0)</f>
        <v>0</v>
      </c>
      <c r="I25" s="41">
        <f>IF($B25="E",0,$D25*$M25)</f>
        <v>1852.5</v>
      </c>
      <c r="J25" s="42">
        <f>$H25*$L25</f>
        <v>0</v>
      </c>
      <c r="K25" s="63">
        <f>$I25*$L25</f>
        <v>6298.5</v>
      </c>
      <c r="L25" s="43">
        <f>IF($B25="E",LOOKUP(C25,$D$9:$L$9,$D$10:$L$10),LOOKUP(C25,$D$9:$L$9,$D$10:$L$10))</f>
        <v>3.4</v>
      </c>
      <c r="M25" s="43">
        <f t="shared" si="0"/>
        <v>7.5</v>
      </c>
    </row>
    <row r="26" spans="1:13" s="16" customFormat="1" ht="15">
      <c r="A26" s="40" t="s">
        <v>228</v>
      </c>
      <c r="B26" s="49" t="s">
        <v>26</v>
      </c>
      <c r="C26" s="44">
        <v>6</v>
      </c>
      <c r="D26" s="44">
        <v>12</v>
      </c>
      <c r="E26" s="44"/>
      <c r="F26" s="44" t="s">
        <v>232</v>
      </c>
      <c r="G26" s="44" t="s">
        <v>117</v>
      </c>
      <c r="H26" s="23">
        <f>IF($B26="E",$D26*$M26,0)</f>
        <v>0</v>
      </c>
      <c r="I26" s="41">
        <f>IF($B26="E",0,$D26*$M26)</f>
        <v>1583</v>
      </c>
      <c r="J26" s="42">
        <f>$H26*$L26</f>
        <v>0</v>
      </c>
      <c r="K26" s="63">
        <f>$I26*$L26</f>
        <v>2377.666</v>
      </c>
      <c r="L26" s="43">
        <f>IF($B26="E",LOOKUP(C26,$D$9:$L$9,$D$10:$L$10),LOOKUP(C26,$D$9:$L$9,$D$10:$L$10))</f>
        <v>1.502</v>
      </c>
      <c r="M26" s="43">
        <f t="shared" si="0"/>
        <v>131.91666666666666</v>
      </c>
    </row>
    <row r="27" spans="1:13" s="16" customFormat="1" ht="15">
      <c r="A27" s="40" t="s">
        <v>184</v>
      </c>
      <c r="B27" s="49" t="s">
        <v>26</v>
      </c>
      <c r="C27" s="44">
        <v>9</v>
      </c>
      <c r="D27" s="44">
        <v>10</v>
      </c>
      <c r="E27" s="44"/>
      <c r="F27" s="44" t="s">
        <v>229</v>
      </c>
      <c r="G27" s="44" t="s">
        <v>117</v>
      </c>
      <c r="H27" s="23">
        <f>IF($B27="E",$D27*$M27,0)</f>
        <v>0</v>
      </c>
      <c r="I27" s="41">
        <f>IF($B27="E",0,$D27*$M27)</f>
        <v>1266.6666666666667</v>
      </c>
      <c r="J27" s="42">
        <f>$H27*$L27</f>
        <v>0</v>
      </c>
      <c r="K27" s="63">
        <f>$I27*$L27</f>
        <v>4306.666666666667</v>
      </c>
      <c r="L27" s="43">
        <f>IF($B27="E",LOOKUP(C27,$D$9:$L$9,$D$10:$L$10),LOOKUP(C27,$D$9:$L$9,$D$10:$L$10))</f>
        <v>3.4</v>
      </c>
      <c r="M27" s="43">
        <f t="shared" si="0"/>
        <v>126.66666666666667</v>
      </c>
    </row>
    <row r="28" spans="1:13" s="16" customFormat="1" ht="15">
      <c r="A28" s="40" t="s">
        <v>208</v>
      </c>
      <c r="B28" s="49" t="s">
        <v>26</v>
      </c>
      <c r="C28" s="44">
        <v>9</v>
      </c>
      <c r="D28" s="44">
        <v>10</v>
      </c>
      <c r="E28" s="44"/>
      <c r="F28" s="44" t="s">
        <v>229</v>
      </c>
      <c r="G28" s="44" t="s">
        <v>117</v>
      </c>
      <c r="H28" s="23">
        <f>IF($B28="E",$D28*$M28,0)</f>
        <v>0</v>
      </c>
      <c r="I28" s="41">
        <f>IF($B28="E",0,$D28*$M28)</f>
        <v>1266.6666666666667</v>
      </c>
      <c r="J28" s="42">
        <f>$H28*$L28</f>
        <v>0</v>
      </c>
      <c r="K28" s="63">
        <f>$I28*$L28</f>
        <v>4306.666666666667</v>
      </c>
      <c r="L28" s="43">
        <f>IF($B28="E",LOOKUP(C28,$D$9:$L$9,$D$10:$L$10),LOOKUP(C28,$D$9:$L$9,$D$10:$L$10))</f>
        <v>3.4</v>
      </c>
      <c r="M28" s="43">
        <f t="shared" si="0"/>
        <v>126.66666666666667</v>
      </c>
    </row>
    <row r="29" spans="1:13" s="16" customFormat="1" ht="15">
      <c r="A29" s="40" t="s">
        <v>230</v>
      </c>
      <c r="B29" s="49" t="s">
        <v>26</v>
      </c>
      <c r="C29" s="44">
        <v>5</v>
      </c>
      <c r="D29" s="44">
        <v>255</v>
      </c>
      <c r="E29" s="44" t="s">
        <v>115</v>
      </c>
      <c r="F29" s="44" t="s">
        <v>231</v>
      </c>
      <c r="G29" s="44" t="s">
        <v>161</v>
      </c>
      <c r="H29" s="23">
        <f>IF($B29="E",$D29*$M29,0)</f>
        <v>0</v>
      </c>
      <c r="I29" s="41">
        <f>IF($B29="E",0,$D29*$M29)</f>
        <v>11836.25</v>
      </c>
      <c r="J29" s="42">
        <f>$H29*$L29</f>
        <v>0</v>
      </c>
      <c r="K29" s="63">
        <f>$I29*$L29</f>
        <v>12345.20875</v>
      </c>
      <c r="L29" s="43">
        <f>IF($B29="E",LOOKUP(C29,$D$9:$L$9,$D$10:$L$10),LOOKUP(C29,$D$9:$L$9,$D$10:$L$10))</f>
        <v>1.043</v>
      </c>
      <c r="M29" s="43">
        <f t="shared" si="0"/>
        <v>46.416666666666664</v>
      </c>
    </row>
    <row r="30" spans="1:13" s="16" customFormat="1" ht="18" thickBot="1">
      <c r="A30" s="25" t="s">
        <v>223</v>
      </c>
      <c r="C30" s="15"/>
      <c r="D30" s="15"/>
      <c r="F30" s="14"/>
      <c r="G30" s="15"/>
      <c r="I30" s="17"/>
      <c r="J30" s="18"/>
      <c r="K30" s="18"/>
      <c r="L30" s="19"/>
      <c r="M30" s="20"/>
    </row>
    <row r="31" spans="1:13" s="16" customFormat="1" ht="15.75" thickTop="1">
      <c r="A31" s="40" t="s">
        <v>233</v>
      </c>
      <c r="B31" s="49" t="s">
        <v>26</v>
      </c>
      <c r="C31" s="44">
        <v>5</v>
      </c>
      <c r="D31" s="44">
        <v>196</v>
      </c>
      <c r="E31" s="44" t="s">
        <v>115</v>
      </c>
      <c r="F31" s="44" t="s">
        <v>234</v>
      </c>
      <c r="G31" s="44" t="s">
        <v>172</v>
      </c>
      <c r="H31" s="23">
        <f>IF($B31="E",$D31*$M31,0)</f>
        <v>0</v>
      </c>
      <c r="I31" s="41">
        <f>IF($B31="E",0,$D31*$M31)</f>
        <v>2572.5</v>
      </c>
      <c r="J31" s="42">
        <f>$H31*$L31</f>
        <v>0</v>
      </c>
      <c r="K31" s="63">
        <f>$I31*$L31</f>
        <v>2683.1175</v>
      </c>
      <c r="L31" s="43">
        <f>IF($B31="E",LOOKUP(C31,$D$9:$L$9,$D$10:$L$10),LOOKUP(C31,$D$9:$L$9,$D$10:$L$10))</f>
        <v>1.043</v>
      </c>
      <c r="M31" s="43">
        <f>(LEFT(F31,(FIND("'",F31)-1)))+((MID(F31,FIND("-",F31)+1,((FIND("""",F31)-(FIND("-",F31))-1))))/12)</f>
        <v>13.125</v>
      </c>
    </row>
    <row r="32" spans="1:13" s="16" customFormat="1" ht="15">
      <c r="A32" s="40" t="s">
        <v>235</v>
      </c>
      <c r="B32" s="49" t="s">
        <v>26</v>
      </c>
      <c r="C32" s="44">
        <v>9</v>
      </c>
      <c r="D32" s="44">
        <v>196</v>
      </c>
      <c r="E32" s="44"/>
      <c r="F32" s="44" t="s">
        <v>239</v>
      </c>
      <c r="G32" s="44" t="s">
        <v>117</v>
      </c>
      <c r="H32" s="23">
        <f>IF($B32="E",$D32*$M32,0)</f>
        <v>0</v>
      </c>
      <c r="I32" s="41">
        <f>IF($B32="E",0,$D32*$M32)</f>
        <v>3332</v>
      </c>
      <c r="J32" s="42">
        <f>$H32*$L32</f>
        <v>0</v>
      </c>
      <c r="K32" s="63">
        <f>$I32*$L32</f>
        <v>11328.8</v>
      </c>
      <c r="L32" s="43">
        <f>IF($B32="E",LOOKUP(C32,$D$9:$L$9,$D$10:$L$10),LOOKUP(C32,$D$9:$L$9,$D$10:$L$10))</f>
        <v>3.4</v>
      </c>
      <c r="M32" s="43">
        <f>(LEFT(F32,(FIND("'",F32)-1)))+((MID(F32,FIND("-",F32)+1,((FIND("""",F32)-(FIND("-",F32))-1))))/12)</f>
        <v>17</v>
      </c>
    </row>
    <row r="33" spans="3:16" s="16" customFormat="1" ht="12">
      <c r="C33" s="15"/>
      <c r="D33" s="15"/>
      <c r="F33" s="14"/>
      <c r="G33" s="15"/>
      <c r="H33" s="13"/>
      <c r="I33" s="13"/>
      <c r="J33" s="14"/>
      <c r="L33" s="17"/>
      <c r="M33" s="18"/>
      <c r="N33" s="18"/>
      <c r="O33" s="19"/>
      <c r="P33" s="20"/>
    </row>
    <row r="34" spans="3:16" s="16" customFormat="1" ht="12">
      <c r="C34" s="15"/>
      <c r="D34" s="15"/>
      <c r="F34" s="14"/>
      <c r="G34" s="15"/>
      <c r="H34" s="13"/>
      <c r="I34" s="13"/>
      <c r="J34" s="14"/>
      <c r="L34" s="17"/>
      <c r="M34" s="18"/>
      <c r="N34" s="18"/>
      <c r="O34" s="19"/>
      <c r="P34" s="20"/>
    </row>
    <row r="35" spans="3:16" s="16" customFormat="1" ht="12.75">
      <c r="C35" s="15"/>
      <c r="D35" s="15"/>
      <c r="F35" s="14"/>
      <c r="G35" s="15"/>
      <c r="H35" s="13"/>
      <c r="I35" s="13"/>
      <c r="J35" s="14"/>
      <c r="L35" s="21"/>
      <c r="M35" s="18"/>
      <c r="N35" s="18"/>
      <c r="O35" s="19"/>
      <c r="P35" s="20"/>
    </row>
    <row r="36" spans="5:11" ht="18" thickBot="1">
      <c r="E36" s="68" t="s">
        <v>238</v>
      </c>
      <c r="F36" s="68"/>
      <c r="G36" s="68"/>
      <c r="H36" s="68"/>
      <c r="I36" s="68"/>
      <c r="J36" s="68"/>
      <c r="K36" s="68"/>
    </row>
    <row r="37" spans="5:12" ht="18.75" thickBot="1" thickTop="1">
      <c r="E37" s="71" t="s">
        <v>106</v>
      </c>
      <c r="F37" s="71"/>
      <c r="G37" s="71"/>
      <c r="H37" s="57"/>
      <c r="I37" s="71" t="s">
        <v>101</v>
      </c>
      <c r="J37" s="71"/>
      <c r="K37" s="71"/>
      <c r="L37" s="56"/>
    </row>
    <row r="38" spans="5:11" ht="13.5" thickTop="1">
      <c r="E38" s="51" t="s">
        <v>73</v>
      </c>
      <c r="F38" s="58" t="s">
        <v>71</v>
      </c>
      <c r="G38" s="61" t="s">
        <v>73</v>
      </c>
      <c r="H38" s="52"/>
      <c r="I38" s="51" t="s">
        <v>73</v>
      </c>
      <c r="J38" s="61" t="s">
        <v>71</v>
      </c>
      <c r="K38" s="53" t="s">
        <v>73</v>
      </c>
    </row>
    <row r="39" spans="5:11" ht="12.75">
      <c r="E39" s="51" t="s">
        <v>77</v>
      </c>
      <c r="F39" s="51" t="s">
        <v>74</v>
      </c>
      <c r="G39" s="60" t="s">
        <v>79</v>
      </c>
      <c r="H39" s="52"/>
      <c r="I39" s="51" t="s">
        <v>77</v>
      </c>
      <c r="J39" s="51" t="s">
        <v>74</v>
      </c>
      <c r="K39" s="60" t="s">
        <v>79</v>
      </c>
    </row>
    <row r="40" spans="5:11" ht="15">
      <c r="E40" s="54">
        <f>SUMIF($C$24:$C$35,"=3",$H$24:$H$35)</f>
        <v>0</v>
      </c>
      <c r="F40" s="59" t="s">
        <v>102</v>
      </c>
      <c r="G40" s="55">
        <f>SUMIF($C$24:$C$35,"=3",$J$24:$J$35)</f>
        <v>0</v>
      </c>
      <c r="H40" s="56"/>
      <c r="I40" s="65">
        <f>SUMIF($C$24:$C$35,"=3",$I$24:$I$35)</f>
        <v>0</v>
      </c>
      <c r="J40" s="59" t="s">
        <v>102</v>
      </c>
      <c r="K40" s="55">
        <f>SUMIF($C$24:$C$35,"=3",$K$24:$K$35)</f>
        <v>0</v>
      </c>
    </row>
    <row r="41" spans="5:11" ht="15">
      <c r="E41" s="54">
        <f>SUMIF($C$24:$C$35,"=4",$H$24:$H$35)</f>
        <v>0</v>
      </c>
      <c r="F41" s="52" t="s">
        <v>81</v>
      </c>
      <c r="G41" s="55">
        <f>SUMIF($C$24:$C$35,"=4",$J$24:$J$35)</f>
        <v>0</v>
      </c>
      <c r="H41" s="56"/>
      <c r="I41" s="65">
        <f>SUMIF($C$24:$C$35,"=4",$I$24:$I$35)</f>
        <v>0</v>
      </c>
      <c r="J41" s="52" t="s">
        <v>81</v>
      </c>
      <c r="K41" s="55">
        <f>SUMIF($C$24:$C$35,"=4",$K$24:$K$35)</f>
        <v>0</v>
      </c>
    </row>
    <row r="42" spans="5:11" ht="15">
      <c r="E42" s="54">
        <f>SUMIF($C$24:$C$35,"=5",$H$24:$H$35)</f>
        <v>0</v>
      </c>
      <c r="F42" s="52" t="s">
        <v>82</v>
      </c>
      <c r="G42" s="55">
        <f>SUMIF($C$24:$C$35,"=5",$J$24:$J$35)</f>
        <v>0</v>
      </c>
      <c r="H42" s="56"/>
      <c r="I42" s="65">
        <f>SUMIF($C$24:$C$35,"=5",$I$24:$I$35)</f>
        <v>14408.75</v>
      </c>
      <c r="J42" s="52" t="s">
        <v>82</v>
      </c>
      <c r="K42" s="55">
        <f>SUMIF($C$24:$C$35,"=5",$K$24:$K$35)</f>
        <v>15028.32625</v>
      </c>
    </row>
    <row r="43" spans="5:11" ht="15">
      <c r="E43" s="54">
        <f>SUMIF($C$24:$C$35,"=6",$H$24:$H$35)</f>
        <v>0</v>
      </c>
      <c r="F43" s="52" t="s">
        <v>83</v>
      </c>
      <c r="G43" s="55">
        <f>SUMIF($C$24:$C$35,"=6",$J$24:$J$35)</f>
        <v>0</v>
      </c>
      <c r="H43" s="56"/>
      <c r="I43" s="65">
        <f>SUMIF($C$24:$C$35,"=6",$I$24:$I$35)</f>
        <v>1681</v>
      </c>
      <c r="J43" s="52" t="s">
        <v>83</v>
      </c>
      <c r="K43" s="55">
        <f>SUMIF($C$24:$C$35,"=6",$K$24:$K$35)</f>
        <v>2524.862</v>
      </c>
    </row>
    <row r="44" spans="5:11" ht="15">
      <c r="E44" s="54">
        <f>SUMIF($C$24:$C$35,"=7",$H$24:$H$35)</f>
        <v>0</v>
      </c>
      <c r="F44" s="52" t="s">
        <v>84</v>
      </c>
      <c r="G44" s="55">
        <f>SUMIF($C$24:$C$35,"=7",$J$24:$J$35)</f>
        <v>0</v>
      </c>
      <c r="H44" s="56"/>
      <c r="I44" s="65">
        <f>SUMIF($C$24:$C$35,"=7",$I$24:$I$35)</f>
        <v>0</v>
      </c>
      <c r="J44" s="52" t="s">
        <v>84</v>
      </c>
      <c r="K44" s="55">
        <f>SUMIF($C$24:$C$35,"=7",$K$24:$K$35)</f>
        <v>0</v>
      </c>
    </row>
    <row r="45" spans="5:11" ht="15">
      <c r="E45" s="54">
        <f>SUMIF($C$24:$C$35,"=8",$H$24:$H$35)</f>
        <v>0</v>
      </c>
      <c r="F45" s="52" t="s">
        <v>85</v>
      </c>
      <c r="G45" s="55">
        <f>SUMIF($C$24:$C$35,"=8",$J$24:$J$35)</f>
        <v>0</v>
      </c>
      <c r="H45" s="56"/>
      <c r="I45" s="65">
        <f>SUMIF($C$24:$C$35,"=8",$I$24:$I$35)</f>
        <v>0</v>
      </c>
      <c r="J45" s="52" t="s">
        <v>85</v>
      </c>
      <c r="K45" s="55">
        <f>SUMIF($C$24:$C$35,"=8",$K$24:$K$35)</f>
        <v>0</v>
      </c>
    </row>
    <row r="46" spans="5:11" ht="15">
      <c r="E46" s="54">
        <f>SUMIF($C$24:$C$35,"=9",$H$24:$H$35)</f>
        <v>0</v>
      </c>
      <c r="F46" s="52" t="s">
        <v>86</v>
      </c>
      <c r="G46" s="55">
        <f>SUMIF($C$24:$C$35,"=9",$J$24:$J$35)</f>
        <v>0</v>
      </c>
      <c r="H46" s="56"/>
      <c r="I46" s="65">
        <f>SUMIF($C$24:$C$35,"=9",$I$24:$I$35)</f>
        <v>7717.833333333334</v>
      </c>
      <c r="J46" s="52" t="s">
        <v>86</v>
      </c>
      <c r="K46" s="55">
        <f>SUMIF($C$24:$C$35,"=9",$K$24:$K$35)</f>
        <v>26240.633333333335</v>
      </c>
    </row>
    <row r="47" spans="5:11" ht="15">
      <c r="E47" s="54">
        <f>SUMIF($C$24:$C$35,"=10",$H$24:$H$35)</f>
        <v>0</v>
      </c>
      <c r="F47" s="52" t="s">
        <v>87</v>
      </c>
      <c r="G47" s="55">
        <f>SUMIF($C$24:$C$35,"=10",$J$24:$J$35)</f>
        <v>0</v>
      </c>
      <c r="H47" s="56"/>
      <c r="I47" s="65">
        <f>SUMIF($C$24:$C$35,"=10",$I$24:$I$35)</f>
        <v>0</v>
      </c>
      <c r="J47" s="52" t="s">
        <v>87</v>
      </c>
      <c r="K47" s="55">
        <f>SUMIF($C$24:$C$35,"=10",$K$24:$K$35)</f>
        <v>0</v>
      </c>
    </row>
    <row r="48" spans="5:11" ht="15">
      <c r="E48" s="54">
        <f>SUMIF($C$24:$C$35,"=11",$H$24:$H$35)</f>
        <v>0</v>
      </c>
      <c r="F48" s="52" t="s">
        <v>88</v>
      </c>
      <c r="G48" s="55">
        <f>SUMIF($C$24:$C$35,"=11",$J$24:$J$35)</f>
        <v>0</v>
      </c>
      <c r="H48" s="56"/>
      <c r="I48" s="65">
        <f>SUMIF($C$24:$C$35,"=11",$I$24:$I$35)</f>
        <v>0</v>
      </c>
      <c r="J48" s="52" t="s">
        <v>88</v>
      </c>
      <c r="K48" s="55">
        <f>SUMIF($C$24:$C$35,"=11",$K$24:$K$35)</f>
        <v>0</v>
      </c>
    </row>
    <row r="49" spans="5:11" ht="15">
      <c r="E49" s="69" t="s">
        <v>108</v>
      </c>
      <c r="F49" s="70"/>
      <c r="G49" s="62">
        <f>SUM(G40:G48)</f>
        <v>0</v>
      </c>
      <c r="H49" s="56"/>
      <c r="I49" s="69" t="s">
        <v>104</v>
      </c>
      <c r="J49" s="70"/>
      <c r="K49" s="62">
        <f>SUM(K40:K48)</f>
        <v>43793.82158333334</v>
      </c>
    </row>
    <row r="50" ht="12.75">
      <c r="H50" s="56"/>
    </row>
    <row r="52" ht="12.75">
      <c r="A52" s="12"/>
    </row>
  </sheetData>
  <sheetProtection/>
  <mergeCells count="12">
    <mergeCell ref="G1:I1"/>
    <mergeCell ref="A17:D17"/>
    <mergeCell ref="B1:E1"/>
    <mergeCell ref="B2:E2"/>
    <mergeCell ref="B3:E3"/>
    <mergeCell ref="B4:E4"/>
    <mergeCell ref="B5:E5"/>
    <mergeCell ref="E36:K36"/>
    <mergeCell ref="E37:G37"/>
    <mergeCell ref="I37:K37"/>
    <mergeCell ref="E49:F49"/>
    <mergeCell ref="I49:J49"/>
  </mergeCells>
  <dataValidations count="2">
    <dataValidation type="list" allowBlank="1" showInputMessage="1" showErrorMessage="1" sqref="C31:C32 C24:C29">
      <formula1>"3, 4, 5, 6, 7, 8, 9, 10, 11"</formula1>
    </dataValidation>
    <dataValidation type="list" allowBlank="1" showInputMessage="1" showErrorMessage="1" sqref="B31:B32 B24:B29">
      <formula1>"E, N"</formula1>
    </dataValidation>
  </dataValidations>
  <printOptions gridLines="1"/>
  <pageMargins left="0.25" right="0.25" top="0.5" bottom="0.5" header="0.25" footer="0.25"/>
  <pageSetup fitToHeight="0" fitToWidth="1" horizontalDpi="600" verticalDpi="600" orientation="landscape" scale="81" r:id="rId2"/>
  <headerFooter alignWithMargins="0">
    <oddHeader>&amp;C&amp;A&amp;R&amp;D</oddHeader>
    <oddFooter>&amp;CPage &amp;P of &amp;N</oddFooter>
  </headerFooter>
  <rowBreaks count="1" manualBreakCount="1">
    <brk id="34" max="255" man="1"/>
  </rowBreaks>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P62"/>
  <sheetViews>
    <sheetView zoomScalePageLayoutView="0" workbookViewId="0" topLeftCell="A1">
      <selection activeCell="Q18" sqref="Q18"/>
    </sheetView>
  </sheetViews>
  <sheetFormatPr defaultColWidth="10.28125" defaultRowHeight="12.75"/>
  <cols>
    <col min="1" max="1" width="43.8515625" style="26" bestFit="1" customWidth="1"/>
    <col min="2" max="2" width="2.421875" style="26" customWidth="1"/>
    <col min="3" max="3" width="4.7109375" style="26" bestFit="1" customWidth="1"/>
    <col min="4" max="4" width="6.57421875" style="26" bestFit="1" customWidth="1"/>
    <col min="5" max="5" width="8.57421875" style="26" bestFit="1" customWidth="1"/>
    <col min="6" max="6" width="8.7109375" style="26" bestFit="1" customWidth="1"/>
    <col min="7" max="7" width="10.140625" style="26" customWidth="1"/>
    <col min="8" max="8" width="12.00390625" style="26" bestFit="1" customWidth="1"/>
    <col min="9" max="9" width="10.28125" style="26" bestFit="1" customWidth="1"/>
    <col min="10" max="10" width="9.28125" style="26" bestFit="1" customWidth="1"/>
    <col min="11" max="11" width="8.7109375" style="26" bestFit="1" customWidth="1"/>
    <col min="12" max="12" width="7.00390625" style="26" bestFit="1" customWidth="1"/>
    <col min="13" max="13" width="8.57421875" style="26" bestFit="1" customWidth="1"/>
    <col min="14" max="14" width="6.8515625" style="26" bestFit="1" customWidth="1"/>
    <col min="15" max="16" width="10.140625" style="26" customWidth="1"/>
    <col min="17" max="16384" width="10.28125" style="26" customWidth="1"/>
  </cols>
  <sheetData>
    <row r="1" spans="1:9" ht="15.75">
      <c r="A1" s="38" t="str">
        <f>'Reinf S.S.'!A1</f>
        <v>Created By:</v>
      </c>
      <c r="B1" s="72" t="str">
        <f>'Reinf S.S.'!B1:E1</f>
        <v>XXXXXXXXX</v>
      </c>
      <c r="C1" s="73"/>
      <c r="D1" s="73"/>
      <c r="E1" s="73"/>
      <c r="F1" s="16"/>
      <c r="G1" s="67" t="s">
        <v>105</v>
      </c>
      <c r="H1" s="67"/>
      <c r="I1" s="67"/>
    </row>
    <row r="2" spans="1:9" ht="15">
      <c r="A2" s="38" t="str">
        <f>'Reinf S.S.'!A2</f>
        <v>Date Created:</v>
      </c>
      <c r="B2" s="74" t="str">
        <f>'Reinf S.S.'!B2:E2</f>
        <v>MM/DD/YYYY</v>
      </c>
      <c r="C2" s="73"/>
      <c r="D2" s="73"/>
      <c r="E2" s="73"/>
      <c r="F2" s="16"/>
      <c r="G2" s="28" t="s">
        <v>89</v>
      </c>
      <c r="H2" s="29" t="s">
        <v>93</v>
      </c>
      <c r="I2" s="30" t="s">
        <v>96</v>
      </c>
    </row>
    <row r="3" spans="1:9" ht="20.25" thickBot="1">
      <c r="A3" s="38" t="str">
        <f>'Reinf S.S.'!A3</f>
        <v>Project #</v>
      </c>
      <c r="B3" s="72" t="str">
        <f>'Reinf S.S.'!B3:E3</f>
        <v>XXXXXXXXX</v>
      </c>
      <c r="C3" s="72"/>
      <c r="D3" s="72"/>
      <c r="E3" s="72"/>
      <c r="F3" s="16"/>
      <c r="G3" s="31" t="s">
        <v>90</v>
      </c>
      <c r="H3" s="27" t="s">
        <v>94</v>
      </c>
      <c r="I3" s="32" t="s">
        <v>97</v>
      </c>
    </row>
    <row r="4" spans="1:9" ht="18.75" thickBot="1" thickTop="1">
      <c r="A4" s="38" t="str">
        <f>'Reinf S.S.'!A4</f>
        <v>Sub Account #</v>
      </c>
      <c r="B4" s="75" t="str">
        <f>'Reinf S.S.'!B4:E4</f>
        <v>XXXXX</v>
      </c>
      <c r="C4" s="75"/>
      <c r="D4" s="75"/>
      <c r="E4" s="75"/>
      <c r="F4" s="16"/>
      <c r="G4" s="33" t="s">
        <v>91</v>
      </c>
      <c r="H4" s="34" t="s">
        <v>95</v>
      </c>
      <c r="I4" s="35" t="s">
        <v>98</v>
      </c>
    </row>
    <row r="5" spans="1:9" ht="15.75" thickTop="1">
      <c r="A5" s="38" t="str">
        <f>'Reinf S.S.'!A5</f>
        <v>Structure #</v>
      </c>
      <c r="B5" s="72" t="str">
        <f>'Reinf S.S.'!B5:E5</f>
        <v>X-XX-XX</v>
      </c>
      <c r="C5" s="72"/>
      <c r="D5" s="72"/>
      <c r="E5" s="72"/>
      <c r="F5" s="16"/>
      <c r="G5" s="36" t="s">
        <v>92</v>
      </c>
      <c r="H5" s="37" t="s">
        <v>73</v>
      </c>
      <c r="I5" s="64" t="s">
        <v>111</v>
      </c>
    </row>
    <row r="6" spans="5:6" ht="12.75">
      <c r="E6" s="8"/>
      <c r="F6" s="10"/>
    </row>
    <row r="7" spans="5:6" ht="12.75">
      <c r="E7" s="8"/>
      <c r="F7" s="10"/>
    </row>
    <row r="8" spans="1:6" ht="12.75">
      <c r="A8" s="7"/>
      <c r="B8" s="16"/>
      <c r="C8" s="8"/>
      <c r="D8" s="10"/>
      <c r="E8" s="8"/>
      <c r="F8" s="10"/>
    </row>
    <row r="9" spans="1:14" ht="12.75" hidden="1">
      <c r="A9" s="9"/>
      <c r="B9" s="16"/>
      <c r="C9" s="50" t="s">
        <v>110</v>
      </c>
      <c r="D9" s="47">
        <v>3</v>
      </c>
      <c r="E9" s="47">
        <v>4</v>
      </c>
      <c r="F9" s="47">
        <v>5</v>
      </c>
      <c r="G9" s="47">
        <v>6</v>
      </c>
      <c r="H9" s="47">
        <v>7</v>
      </c>
      <c r="I9" s="47">
        <v>8</v>
      </c>
      <c r="J9" s="47">
        <v>9</v>
      </c>
      <c r="K9" s="47">
        <v>10</v>
      </c>
      <c r="L9" s="47">
        <v>11</v>
      </c>
      <c r="M9" s="16"/>
      <c r="N9" s="10"/>
    </row>
    <row r="10" spans="1:14" ht="12.75" hidden="1">
      <c r="A10" s="3"/>
      <c r="B10" s="16"/>
      <c r="C10" s="50" t="s">
        <v>109</v>
      </c>
      <c r="D10" s="48">
        <v>0.376</v>
      </c>
      <c r="E10" s="48">
        <v>0.668</v>
      </c>
      <c r="F10" s="48">
        <v>1.043</v>
      </c>
      <c r="G10" s="48">
        <v>1.502</v>
      </c>
      <c r="H10" s="48">
        <v>2.044</v>
      </c>
      <c r="I10" s="48">
        <v>2.67</v>
      </c>
      <c r="J10" s="48">
        <v>3.4</v>
      </c>
      <c r="K10" s="48">
        <v>4.303</v>
      </c>
      <c r="L10" s="48">
        <v>5.313</v>
      </c>
      <c r="M10" s="16"/>
      <c r="N10" s="16"/>
    </row>
    <row r="11" spans="1:6" ht="15">
      <c r="A11" s="39" t="s">
        <v>68</v>
      </c>
      <c r="B11" s="16"/>
      <c r="C11" s="8"/>
      <c r="D11" s="16"/>
      <c r="E11" s="8"/>
      <c r="F11" s="10"/>
    </row>
    <row r="12" spans="1:6" ht="15">
      <c r="A12" s="39" t="s">
        <v>103</v>
      </c>
      <c r="B12" s="11"/>
      <c r="C12" s="8"/>
      <c r="D12" s="16"/>
      <c r="E12" s="16"/>
      <c r="F12" s="16"/>
    </row>
    <row r="13" spans="1:6" ht="15">
      <c r="A13" s="39"/>
      <c r="B13" s="11"/>
      <c r="C13" s="8"/>
      <c r="D13" s="16"/>
      <c r="E13" s="16"/>
      <c r="F13" s="16"/>
    </row>
    <row r="14" spans="1:6" ht="15">
      <c r="A14" s="39"/>
      <c r="B14" s="11"/>
      <c r="C14" s="8"/>
      <c r="D14" s="16"/>
      <c r="E14" s="16"/>
      <c r="F14" s="16"/>
    </row>
    <row r="15" spans="1:6" ht="15">
      <c r="A15" s="39"/>
      <c r="B15" s="11"/>
      <c r="C15" s="8"/>
      <c r="D15" s="16"/>
      <c r="E15" s="16"/>
      <c r="F15" s="16"/>
    </row>
    <row r="16" spans="3:14" s="16" customFormat="1" ht="12.75">
      <c r="C16" s="8"/>
      <c r="G16" s="26"/>
      <c r="H16" s="26"/>
      <c r="I16" s="26"/>
      <c r="J16" s="26"/>
      <c r="K16" s="26"/>
      <c r="L16" s="26"/>
      <c r="M16" s="26"/>
      <c r="N16" s="26"/>
    </row>
    <row r="17" spans="1:14" s="16" customFormat="1" ht="18" thickBot="1">
      <c r="A17" s="68" t="s">
        <v>240</v>
      </c>
      <c r="B17" s="68"/>
      <c r="C17" s="68"/>
      <c r="D17" s="68"/>
      <c r="G17" s="26"/>
      <c r="H17" s="26"/>
      <c r="I17" s="26"/>
      <c r="J17" s="26"/>
      <c r="K17" s="26"/>
      <c r="L17" s="26"/>
      <c r="M17" s="26"/>
      <c r="N17" s="26"/>
    </row>
    <row r="18" spans="1:14" s="16" customFormat="1" ht="18.75" thickBot="1" thickTop="1">
      <c r="A18" s="66"/>
      <c r="B18" s="66"/>
      <c r="C18" s="66"/>
      <c r="D18" s="66"/>
      <c r="G18" s="26"/>
      <c r="H18" s="26"/>
      <c r="I18" s="26"/>
      <c r="J18" s="26"/>
      <c r="K18" s="26"/>
      <c r="L18" s="26"/>
      <c r="M18" s="26"/>
      <c r="N18" s="26"/>
    </row>
    <row r="19" spans="3:14" s="16" customFormat="1" ht="13.5" thickTop="1">
      <c r="C19" s="8"/>
      <c r="G19" s="26"/>
      <c r="H19" s="26"/>
      <c r="I19" s="26"/>
      <c r="J19" s="26"/>
      <c r="K19" s="26"/>
      <c r="L19" s="26"/>
      <c r="M19" s="26"/>
      <c r="N19" s="26"/>
    </row>
    <row r="20" spans="1:13" s="16" customFormat="1" ht="12.75">
      <c r="A20" s="22"/>
      <c r="B20" s="45" t="s">
        <v>17</v>
      </c>
      <c r="C20" s="22"/>
      <c r="D20" s="22"/>
      <c r="E20" s="22"/>
      <c r="F20" s="22"/>
      <c r="G20" s="22"/>
      <c r="H20" s="45" t="s">
        <v>107</v>
      </c>
      <c r="I20" s="22" t="s">
        <v>70</v>
      </c>
      <c r="J20" s="45" t="s">
        <v>107</v>
      </c>
      <c r="K20" s="22" t="s">
        <v>70</v>
      </c>
      <c r="L20" s="22"/>
      <c r="M20" s="22"/>
    </row>
    <row r="21" spans="1:13" s="16" customFormat="1" ht="12.75">
      <c r="A21" s="22"/>
      <c r="B21" s="22" t="s">
        <v>100</v>
      </c>
      <c r="C21" s="22" t="s">
        <v>71</v>
      </c>
      <c r="D21" s="22" t="s">
        <v>72</v>
      </c>
      <c r="E21" s="22" t="s">
        <v>71</v>
      </c>
      <c r="F21" s="22" t="s">
        <v>71</v>
      </c>
      <c r="G21" s="22" t="s">
        <v>71</v>
      </c>
      <c r="H21" s="22" t="s">
        <v>73</v>
      </c>
      <c r="I21" s="22" t="s">
        <v>73</v>
      </c>
      <c r="J21" s="22" t="s">
        <v>73</v>
      </c>
      <c r="K21" s="22" t="s">
        <v>73</v>
      </c>
      <c r="L21" s="22"/>
      <c r="M21" s="45" t="s">
        <v>71</v>
      </c>
    </row>
    <row r="22" spans="1:13" s="16" customFormat="1" ht="12.75">
      <c r="A22" s="46" t="s">
        <v>12</v>
      </c>
      <c r="B22" s="46" t="s">
        <v>26</v>
      </c>
      <c r="C22" s="46" t="s">
        <v>74</v>
      </c>
      <c r="D22" s="46" t="s">
        <v>75</v>
      </c>
      <c r="E22" s="46" t="s">
        <v>76</v>
      </c>
      <c r="F22" s="46" t="s">
        <v>77</v>
      </c>
      <c r="G22" s="46" t="s">
        <v>78</v>
      </c>
      <c r="H22" s="46" t="s">
        <v>77</v>
      </c>
      <c r="I22" s="46" t="s">
        <v>77</v>
      </c>
      <c r="J22" s="46" t="s">
        <v>79</v>
      </c>
      <c r="K22" s="46" t="s">
        <v>79</v>
      </c>
      <c r="L22" s="46" t="s">
        <v>79</v>
      </c>
      <c r="M22" s="46" t="s">
        <v>77</v>
      </c>
    </row>
    <row r="23" spans="1:13" s="16" customFormat="1" ht="18" thickBot="1">
      <c r="A23" s="25" t="s">
        <v>195</v>
      </c>
      <c r="C23" s="15"/>
      <c r="D23" s="15"/>
      <c r="F23" s="14"/>
      <c r="G23" s="15"/>
      <c r="I23" s="17"/>
      <c r="J23" s="18"/>
      <c r="K23" s="18"/>
      <c r="L23" s="19"/>
      <c r="M23" s="20"/>
    </row>
    <row r="24" spans="1:13" s="16" customFormat="1" ht="15.75" thickTop="1">
      <c r="A24" s="40" t="s">
        <v>196</v>
      </c>
      <c r="B24" s="49" t="s">
        <v>26</v>
      </c>
      <c r="C24" s="44">
        <v>5</v>
      </c>
      <c r="D24" s="44">
        <v>18</v>
      </c>
      <c r="E24" s="44"/>
      <c r="F24" s="44" t="s">
        <v>197</v>
      </c>
      <c r="G24" s="44" t="s">
        <v>117</v>
      </c>
      <c r="H24" s="23">
        <f>IF($B24="E",$D24*$M24,0)</f>
        <v>0</v>
      </c>
      <c r="I24" s="41">
        <f>IF($B24="E",0,$D24*$M24)</f>
        <v>212.25</v>
      </c>
      <c r="J24" s="42">
        <f>$H24*$L24</f>
        <v>0</v>
      </c>
      <c r="K24" s="63">
        <f>$I24*$L24</f>
        <v>221.37675</v>
      </c>
      <c r="L24" s="43">
        <f>IF($B24="E",LOOKUP(C24,$D$9:$L$9,$D$10:$L$10),LOOKUP(C24,$D$9:$L$9,$D$10:$L$10))</f>
        <v>1.043</v>
      </c>
      <c r="M24" s="43">
        <f aca="true" t="shared" si="0" ref="M24:M42">(LEFT(F24,(FIND("'",F24)-1)))+((MID(F24,FIND("-",F24)+1,((FIND("""",F24)-(FIND("-",F24))-1))))/12)</f>
        <v>11.791666666666666</v>
      </c>
    </row>
    <row r="25" spans="1:13" s="16" customFormat="1" ht="15">
      <c r="A25" s="40" t="s">
        <v>198</v>
      </c>
      <c r="B25" s="49" t="s">
        <v>26</v>
      </c>
      <c r="C25" s="44">
        <v>6</v>
      </c>
      <c r="D25" s="44">
        <v>8</v>
      </c>
      <c r="E25" s="44"/>
      <c r="F25" s="44" t="s">
        <v>199</v>
      </c>
      <c r="G25" s="44" t="s">
        <v>117</v>
      </c>
      <c r="H25" s="23">
        <f>IF($B25="E",$D25*$M25,0)</f>
        <v>0</v>
      </c>
      <c r="I25" s="41">
        <f>IF($B25="E",0,$D25*$M25)</f>
        <v>1065.3333333333333</v>
      </c>
      <c r="J25" s="42">
        <f>$H25*$L25</f>
        <v>0</v>
      </c>
      <c r="K25" s="63">
        <f>$I25*$L25</f>
        <v>1600.1306666666665</v>
      </c>
      <c r="L25" s="43">
        <f>IF($B25="E",LOOKUP(C25,$D$9:$L$9,$D$10:$L$10),LOOKUP(C25,$D$9:$L$9,$D$10:$L$10))</f>
        <v>1.502</v>
      </c>
      <c r="M25" s="43">
        <f t="shared" si="0"/>
        <v>133.16666666666666</v>
      </c>
    </row>
    <row r="26" spans="1:13" s="16" customFormat="1" ht="15">
      <c r="A26" s="40" t="s">
        <v>200</v>
      </c>
      <c r="B26" s="49" t="s">
        <v>26</v>
      </c>
      <c r="C26" s="44">
        <v>6</v>
      </c>
      <c r="D26" s="44">
        <v>154</v>
      </c>
      <c r="E26" s="44" t="s">
        <v>154</v>
      </c>
      <c r="F26" s="44" t="s">
        <v>207</v>
      </c>
      <c r="G26" s="44" t="s">
        <v>161</v>
      </c>
      <c r="H26" s="23">
        <f>IF($B26="E",$D26*$M26,0)</f>
        <v>0</v>
      </c>
      <c r="I26" s="41">
        <f>IF($B26="E",0,$D26*$M26)</f>
        <v>3080</v>
      </c>
      <c r="J26" s="42">
        <f>$H26*$L26</f>
        <v>0</v>
      </c>
      <c r="K26" s="63">
        <f>$I26*$L26</f>
        <v>4626.16</v>
      </c>
      <c r="L26" s="43">
        <f>IF($B26="E",LOOKUP(C26,$D$9:$L$9,$D$10:$L$10),LOOKUP(C26,$D$9:$L$9,$D$10:$L$10))</f>
        <v>1.502</v>
      </c>
      <c r="M26" s="43">
        <f t="shared" si="0"/>
        <v>20</v>
      </c>
    </row>
    <row r="27" spans="1:13" s="16" customFormat="1" ht="15">
      <c r="A27" s="40" t="s">
        <v>201</v>
      </c>
      <c r="B27" s="49" t="s">
        <v>26</v>
      </c>
      <c r="C27" s="44">
        <v>11</v>
      </c>
      <c r="D27" s="44">
        <v>12</v>
      </c>
      <c r="E27" s="44"/>
      <c r="F27" s="44" t="s">
        <v>202</v>
      </c>
      <c r="G27" s="44" t="s">
        <v>117</v>
      </c>
      <c r="H27" s="23">
        <f>IF($B27="E",$D27*$M27,0)</f>
        <v>0</v>
      </c>
      <c r="I27" s="41">
        <f>IF($B27="E",0,$D27*$M27)</f>
        <v>1569</v>
      </c>
      <c r="J27" s="42">
        <f>$H27*$L27</f>
        <v>0</v>
      </c>
      <c r="K27" s="63">
        <f>$I27*$L27</f>
        <v>8336.097</v>
      </c>
      <c r="L27" s="43">
        <f>IF($B27="E",LOOKUP(C27,$D$9:$L$9,$D$10:$L$10),LOOKUP(C27,$D$9:$L$9,$D$10:$L$10))</f>
        <v>5.313</v>
      </c>
      <c r="M27" s="43">
        <f t="shared" si="0"/>
        <v>130.75</v>
      </c>
    </row>
    <row r="28" spans="1:13" s="16" customFormat="1" ht="15">
      <c r="A28" s="40" t="s">
        <v>203</v>
      </c>
      <c r="B28" s="49" t="s">
        <v>26</v>
      </c>
      <c r="C28" s="44">
        <v>11</v>
      </c>
      <c r="D28" s="44">
        <v>6</v>
      </c>
      <c r="E28" s="44"/>
      <c r="F28" s="44" t="s">
        <v>206</v>
      </c>
      <c r="G28" s="44" t="s">
        <v>117</v>
      </c>
      <c r="H28" s="23">
        <f>IF($B28="E",$D28*$M28,0)</f>
        <v>0</v>
      </c>
      <c r="I28" s="41">
        <f>IF($B28="E",0,$D28*$M28)</f>
        <v>502</v>
      </c>
      <c r="J28" s="42">
        <f>$H28*$L28</f>
        <v>0</v>
      </c>
      <c r="K28" s="63">
        <f>$I28*$L28</f>
        <v>2667.1259999999997</v>
      </c>
      <c r="L28" s="43">
        <f>IF($B28="E",LOOKUP(C28,$D$9:$L$9,$D$10:$L$10),LOOKUP(C28,$D$9:$L$9,$D$10:$L$10))</f>
        <v>5.313</v>
      </c>
      <c r="M28" s="43">
        <f t="shared" si="0"/>
        <v>83.66666666666667</v>
      </c>
    </row>
    <row r="29" spans="1:13" s="16" customFormat="1" ht="15">
      <c r="A29" s="40" t="s">
        <v>204</v>
      </c>
      <c r="B29" s="49" t="s">
        <v>26</v>
      </c>
      <c r="C29" s="44">
        <v>11</v>
      </c>
      <c r="D29" s="44">
        <v>6</v>
      </c>
      <c r="E29" s="44"/>
      <c r="F29" s="44" t="s">
        <v>205</v>
      </c>
      <c r="G29" s="44" t="s">
        <v>117</v>
      </c>
      <c r="H29" s="23">
        <f>IF($B29="E",$D29*$M29,0)</f>
        <v>0</v>
      </c>
      <c r="I29" s="41">
        <f>IF($B29="E",0,$D29*$M29)</f>
        <v>136</v>
      </c>
      <c r="J29" s="42">
        <f>$H29*$L29</f>
        <v>0</v>
      </c>
      <c r="K29" s="63">
        <f>$I29*$L29</f>
        <v>722.568</v>
      </c>
      <c r="L29" s="43">
        <f>IF($B29="E",LOOKUP(C29,$D$9:$L$9,$D$10:$L$10),LOOKUP(C29,$D$9:$L$9,$D$10:$L$10))</f>
        <v>5.313</v>
      </c>
      <c r="M29" s="43">
        <f t="shared" si="0"/>
        <v>22.666666666666668</v>
      </c>
    </row>
    <row r="30" spans="1:13" s="16" customFormat="1" ht="18" thickBot="1">
      <c r="A30" s="25" t="s">
        <v>173</v>
      </c>
      <c r="B30" s="26"/>
      <c r="C30" s="26"/>
      <c r="D30" s="26"/>
      <c r="E30" s="26"/>
      <c r="F30" s="26"/>
      <c r="G30" s="26"/>
      <c r="H30" s="26"/>
      <c r="I30" s="26"/>
      <c r="J30" s="26"/>
      <c r="K30" s="26"/>
      <c r="L30" s="26"/>
      <c r="M30" s="26"/>
    </row>
    <row r="31" spans="1:13" s="16" customFormat="1" ht="15.75" thickTop="1">
      <c r="A31" s="40" t="s">
        <v>174</v>
      </c>
      <c r="B31" s="49" t="s">
        <v>26</v>
      </c>
      <c r="C31" s="44">
        <v>7</v>
      </c>
      <c r="D31" s="44">
        <v>6</v>
      </c>
      <c r="E31" s="44" t="s">
        <v>176</v>
      </c>
      <c r="F31" s="44" t="s">
        <v>175</v>
      </c>
      <c r="G31" s="44" t="s">
        <v>168</v>
      </c>
      <c r="H31" s="23">
        <f aca="true" t="shared" si="1" ref="H31:H42">IF($B31="E",$D31*$M31,0)</f>
        <v>0</v>
      </c>
      <c r="I31" s="41">
        <f aca="true" t="shared" si="2" ref="I31:I42">IF($B31="E",0,$D31*$M31)</f>
        <v>43</v>
      </c>
      <c r="J31" s="42">
        <f aca="true" t="shared" si="3" ref="J31:J42">$H31*$L31</f>
        <v>0</v>
      </c>
      <c r="K31" s="63">
        <f aca="true" t="shared" si="4" ref="K31:K42">$I31*$L31</f>
        <v>87.892</v>
      </c>
      <c r="L31" s="43">
        <f aca="true" t="shared" si="5" ref="L31:L42">IF($B31="E",LOOKUP(C31,$D$9:$L$9,$D$10:$L$10),LOOKUP(C31,$D$9:$L$9,$D$10:$L$10))</f>
        <v>2.044</v>
      </c>
      <c r="M31" s="43">
        <f t="shared" si="0"/>
        <v>7.166666666666667</v>
      </c>
    </row>
    <row r="32" spans="1:13" s="16" customFormat="1" ht="15">
      <c r="A32" s="40" t="s">
        <v>177</v>
      </c>
      <c r="B32" s="49" t="s">
        <v>26</v>
      </c>
      <c r="C32" s="44">
        <v>8</v>
      </c>
      <c r="D32" s="44">
        <v>10</v>
      </c>
      <c r="E32" s="44" t="s">
        <v>154</v>
      </c>
      <c r="F32" s="44" t="s">
        <v>178</v>
      </c>
      <c r="G32" s="44" t="s">
        <v>117</v>
      </c>
      <c r="H32" s="23">
        <f t="shared" si="1"/>
        <v>0</v>
      </c>
      <c r="I32" s="41">
        <f t="shared" si="2"/>
        <v>214.16666666666669</v>
      </c>
      <c r="J32" s="42">
        <f t="shared" si="3"/>
        <v>0</v>
      </c>
      <c r="K32" s="63">
        <f t="shared" si="4"/>
        <v>571.825</v>
      </c>
      <c r="L32" s="43">
        <f t="shared" si="5"/>
        <v>2.67</v>
      </c>
      <c r="M32" s="43">
        <f t="shared" si="0"/>
        <v>21.416666666666668</v>
      </c>
    </row>
    <row r="33" spans="1:13" s="16" customFormat="1" ht="15">
      <c r="A33" s="40" t="s">
        <v>179</v>
      </c>
      <c r="B33" s="49" t="s">
        <v>26</v>
      </c>
      <c r="C33" s="44">
        <v>5</v>
      </c>
      <c r="D33" s="44">
        <v>4</v>
      </c>
      <c r="E33" s="44" t="s">
        <v>176</v>
      </c>
      <c r="F33" s="44" t="s">
        <v>178</v>
      </c>
      <c r="G33" s="44" t="s">
        <v>117</v>
      </c>
      <c r="H33" s="23">
        <f t="shared" si="1"/>
        <v>0</v>
      </c>
      <c r="I33" s="41">
        <f t="shared" si="2"/>
        <v>85.66666666666667</v>
      </c>
      <c r="J33" s="42">
        <f t="shared" si="3"/>
        <v>0</v>
      </c>
      <c r="K33" s="63">
        <f t="shared" si="4"/>
        <v>89.35033333333334</v>
      </c>
      <c r="L33" s="43">
        <f t="shared" si="5"/>
        <v>1.043</v>
      </c>
      <c r="M33" s="43">
        <f t="shared" si="0"/>
        <v>21.416666666666668</v>
      </c>
    </row>
    <row r="34" spans="1:13" s="16" customFormat="1" ht="15">
      <c r="A34" s="40" t="s">
        <v>181</v>
      </c>
      <c r="B34" s="49" t="s">
        <v>26</v>
      </c>
      <c r="C34" s="44">
        <v>4</v>
      </c>
      <c r="D34" s="44">
        <v>14</v>
      </c>
      <c r="E34" s="44" t="s">
        <v>154</v>
      </c>
      <c r="F34" s="44" t="s">
        <v>162</v>
      </c>
      <c r="G34" s="44" t="s">
        <v>161</v>
      </c>
      <c r="H34" s="23">
        <f t="shared" si="1"/>
        <v>0</v>
      </c>
      <c r="I34" s="41">
        <f t="shared" si="2"/>
        <v>178.5</v>
      </c>
      <c r="J34" s="42">
        <f t="shared" si="3"/>
        <v>0</v>
      </c>
      <c r="K34" s="63">
        <f t="shared" si="4"/>
        <v>119.23800000000001</v>
      </c>
      <c r="L34" s="43">
        <f t="shared" si="5"/>
        <v>0.668</v>
      </c>
      <c r="M34" s="43">
        <f t="shared" si="0"/>
        <v>12.75</v>
      </c>
    </row>
    <row r="35" spans="1:13" s="16" customFormat="1" ht="15">
      <c r="A35" s="40" t="s">
        <v>208</v>
      </c>
      <c r="B35" s="49" t="s">
        <v>26</v>
      </c>
      <c r="C35" s="44">
        <v>9</v>
      </c>
      <c r="D35" s="44">
        <v>4</v>
      </c>
      <c r="E35" s="44"/>
      <c r="F35" s="44" t="s">
        <v>178</v>
      </c>
      <c r="G35" s="44" t="s">
        <v>117</v>
      </c>
      <c r="H35" s="23">
        <f t="shared" si="1"/>
        <v>0</v>
      </c>
      <c r="I35" s="41">
        <f t="shared" si="2"/>
        <v>85.66666666666667</v>
      </c>
      <c r="J35" s="42">
        <f t="shared" si="3"/>
        <v>0</v>
      </c>
      <c r="K35" s="63">
        <f t="shared" si="4"/>
        <v>291.26666666666665</v>
      </c>
      <c r="L35" s="43">
        <f t="shared" si="5"/>
        <v>3.4</v>
      </c>
      <c r="M35" s="43">
        <f t="shared" si="0"/>
        <v>21.416666666666668</v>
      </c>
    </row>
    <row r="36" spans="1:13" s="16" customFormat="1" ht="15">
      <c r="A36" s="40" t="s">
        <v>209</v>
      </c>
      <c r="B36" s="49" t="s">
        <v>26</v>
      </c>
      <c r="C36" s="44">
        <v>5</v>
      </c>
      <c r="D36" s="44">
        <v>26</v>
      </c>
      <c r="E36" s="44" t="s">
        <v>176</v>
      </c>
      <c r="F36" s="44" t="s">
        <v>210</v>
      </c>
      <c r="G36" s="44" t="s">
        <v>33</v>
      </c>
      <c r="H36" s="23">
        <f t="shared" si="1"/>
        <v>0</v>
      </c>
      <c r="I36" s="41">
        <f t="shared" si="2"/>
        <v>173.33333333333334</v>
      </c>
      <c r="J36" s="42">
        <f t="shared" si="3"/>
        <v>0</v>
      </c>
      <c r="K36" s="63">
        <f t="shared" si="4"/>
        <v>180.78666666666666</v>
      </c>
      <c r="L36" s="43">
        <f t="shared" si="5"/>
        <v>1.043</v>
      </c>
      <c r="M36" s="43">
        <f t="shared" si="0"/>
        <v>6.666666666666667</v>
      </c>
    </row>
    <row r="37" spans="1:13" s="16" customFormat="1" ht="15">
      <c r="A37" s="40" t="s">
        <v>211</v>
      </c>
      <c r="B37" s="49" t="s">
        <v>26</v>
      </c>
      <c r="C37" s="44">
        <v>7</v>
      </c>
      <c r="D37" s="44">
        <v>16</v>
      </c>
      <c r="E37" s="44" t="s">
        <v>115</v>
      </c>
      <c r="F37" s="44" t="s">
        <v>212</v>
      </c>
      <c r="G37" s="44" t="s">
        <v>168</v>
      </c>
      <c r="H37" s="23">
        <f t="shared" si="1"/>
        <v>0</v>
      </c>
      <c r="I37" s="41">
        <f t="shared" si="2"/>
        <v>73.33333333333333</v>
      </c>
      <c r="J37" s="42">
        <f t="shared" si="3"/>
        <v>0</v>
      </c>
      <c r="K37" s="63">
        <f t="shared" si="4"/>
        <v>149.89333333333332</v>
      </c>
      <c r="L37" s="43">
        <f t="shared" si="5"/>
        <v>2.044</v>
      </c>
      <c r="M37" s="43">
        <f t="shared" si="0"/>
        <v>4.583333333333333</v>
      </c>
    </row>
    <row r="38" spans="1:13" s="16" customFormat="1" ht="15">
      <c r="A38" s="40" t="s">
        <v>213</v>
      </c>
      <c r="B38" s="49" t="s">
        <v>26</v>
      </c>
      <c r="C38" s="44">
        <v>6</v>
      </c>
      <c r="D38" s="44">
        <v>8</v>
      </c>
      <c r="E38" s="44" t="s">
        <v>115</v>
      </c>
      <c r="F38" s="44" t="s">
        <v>214</v>
      </c>
      <c r="G38" s="44" t="s">
        <v>215</v>
      </c>
      <c r="H38" s="23">
        <f t="shared" si="1"/>
        <v>0</v>
      </c>
      <c r="I38" s="41">
        <f t="shared" si="2"/>
        <v>24.666666666666668</v>
      </c>
      <c r="J38" s="42">
        <f t="shared" si="3"/>
        <v>0</v>
      </c>
      <c r="K38" s="63">
        <f t="shared" si="4"/>
        <v>37.04933333333334</v>
      </c>
      <c r="L38" s="43">
        <f t="shared" si="5"/>
        <v>1.502</v>
      </c>
      <c r="M38" s="43">
        <f t="shared" si="0"/>
        <v>3.0833333333333335</v>
      </c>
    </row>
    <row r="39" spans="1:13" s="16" customFormat="1" ht="15">
      <c r="A39" s="40" t="s">
        <v>216</v>
      </c>
      <c r="B39" s="49" t="s">
        <v>26</v>
      </c>
      <c r="C39" s="44">
        <v>6</v>
      </c>
      <c r="D39" s="44">
        <v>16</v>
      </c>
      <c r="E39" s="44"/>
      <c r="F39" s="44" t="s">
        <v>212</v>
      </c>
      <c r="G39" s="44" t="s">
        <v>161</v>
      </c>
      <c r="H39" s="23">
        <f t="shared" si="1"/>
        <v>0</v>
      </c>
      <c r="I39" s="41">
        <f t="shared" si="2"/>
        <v>73.33333333333333</v>
      </c>
      <c r="J39" s="42">
        <f t="shared" si="3"/>
        <v>0</v>
      </c>
      <c r="K39" s="63">
        <f t="shared" si="4"/>
        <v>110.14666666666666</v>
      </c>
      <c r="L39" s="43">
        <f t="shared" si="5"/>
        <v>1.502</v>
      </c>
      <c r="M39" s="43">
        <f t="shared" si="0"/>
        <v>4.583333333333333</v>
      </c>
    </row>
    <row r="40" spans="1:13" s="16" customFormat="1" ht="15">
      <c r="A40" s="40" t="s">
        <v>217</v>
      </c>
      <c r="B40" s="49" t="s">
        <v>26</v>
      </c>
      <c r="C40" s="44">
        <v>6</v>
      </c>
      <c r="D40" s="44">
        <v>20</v>
      </c>
      <c r="E40" s="44"/>
      <c r="F40" s="44" t="s">
        <v>176</v>
      </c>
      <c r="G40" s="44" t="s">
        <v>117</v>
      </c>
      <c r="H40" s="23">
        <f t="shared" si="1"/>
        <v>0</v>
      </c>
      <c r="I40" s="41">
        <f t="shared" si="2"/>
        <v>30</v>
      </c>
      <c r="J40" s="42">
        <f t="shared" si="3"/>
        <v>0</v>
      </c>
      <c r="K40" s="63">
        <f t="shared" si="4"/>
        <v>45.06</v>
      </c>
      <c r="L40" s="43">
        <f t="shared" si="5"/>
        <v>1.502</v>
      </c>
      <c r="M40" s="43">
        <f t="shared" si="0"/>
        <v>1.5</v>
      </c>
    </row>
    <row r="41" spans="1:13" s="16" customFormat="1" ht="15">
      <c r="A41" s="40" t="s">
        <v>218</v>
      </c>
      <c r="B41" s="49" t="s">
        <v>26</v>
      </c>
      <c r="C41" s="44">
        <v>6</v>
      </c>
      <c r="D41" s="44">
        <v>4</v>
      </c>
      <c r="E41" s="44"/>
      <c r="F41" s="44" t="s">
        <v>176</v>
      </c>
      <c r="G41" s="44" t="s">
        <v>117</v>
      </c>
      <c r="H41" s="23">
        <f t="shared" si="1"/>
        <v>0</v>
      </c>
      <c r="I41" s="41">
        <f t="shared" si="2"/>
        <v>6</v>
      </c>
      <c r="J41" s="42">
        <f t="shared" si="3"/>
        <v>0</v>
      </c>
      <c r="K41" s="63">
        <f t="shared" si="4"/>
        <v>9.012</v>
      </c>
      <c r="L41" s="43">
        <f t="shared" si="5"/>
        <v>1.502</v>
      </c>
      <c r="M41" s="43">
        <f t="shared" si="0"/>
        <v>1.5</v>
      </c>
    </row>
    <row r="42" spans="1:13" s="16" customFormat="1" ht="15">
      <c r="A42" s="40" t="s">
        <v>219</v>
      </c>
      <c r="B42" s="49" t="s">
        <v>26</v>
      </c>
      <c r="C42" s="44">
        <v>6</v>
      </c>
      <c r="D42" s="44">
        <v>6</v>
      </c>
      <c r="E42" s="44"/>
      <c r="F42" s="44" t="s">
        <v>176</v>
      </c>
      <c r="G42" s="44" t="s">
        <v>117</v>
      </c>
      <c r="H42" s="23">
        <f t="shared" si="1"/>
        <v>0</v>
      </c>
      <c r="I42" s="41">
        <f t="shared" si="2"/>
        <v>9</v>
      </c>
      <c r="J42" s="42">
        <f t="shared" si="3"/>
        <v>0</v>
      </c>
      <c r="K42" s="63">
        <f t="shared" si="4"/>
        <v>13.518</v>
      </c>
      <c r="L42" s="43">
        <f t="shared" si="5"/>
        <v>1.502</v>
      </c>
      <c r="M42" s="43">
        <f t="shared" si="0"/>
        <v>1.5</v>
      </c>
    </row>
    <row r="43" spans="3:16" s="16" customFormat="1" ht="12">
      <c r="C43" s="15"/>
      <c r="D43" s="15"/>
      <c r="F43" s="14"/>
      <c r="G43" s="15"/>
      <c r="H43" s="13"/>
      <c r="I43" s="13"/>
      <c r="J43" s="14"/>
      <c r="L43" s="17"/>
      <c r="M43" s="18"/>
      <c r="N43" s="18"/>
      <c r="O43" s="19"/>
      <c r="P43" s="20"/>
    </row>
    <row r="44" spans="3:16" s="16" customFormat="1" ht="12">
      <c r="C44" s="15"/>
      <c r="D44" s="15"/>
      <c r="F44" s="14"/>
      <c r="G44" s="15"/>
      <c r="H44" s="13"/>
      <c r="I44" s="13"/>
      <c r="J44" s="14"/>
      <c r="L44" s="17"/>
      <c r="M44" s="18"/>
      <c r="N44" s="18"/>
      <c r="O44" s="19"/>
      <c r="P44" s="20"/>
    </row>
    <row r="45" spans="3:16" s="16" customFormat="1" ht="12.75">
      <c r="C45" s="15"/>
      <c r="D45" s="15"/>
      <c r="F45" s="14"/>
      <c r="G45" s="15"/>
      <c r="H45" s="13"/>
      <c r="I45" s="13"/>
      <c r="J45" s="14"/>
      <c r="L45" s="21"/>
      <c r="M45" s="18"/>
      <c r="N45" s="18"/>
      <c r="O45" s="19"/>
      <c r="P45" s="20"/>
    </row>
    <row r="46" spans="5:11" ht="18" thickBot="1">
      <c r="E46" s="68" t="s">
        <v>241</v>
      </c>
      <c r="F46" s="68"/>
      <c r="G46" s="68"/>
      <c r="H46" s="68"/>
      <c r="I46" s="68"/>
      <c r="J46" s="68"/>
      <c r="K46" s="68"/>
    </row>
    <row r="47" spans="5:12" ht="18.75" thickBot="1" thickTop="1">
      <c r="E47" s="71" t="s">
        <v>106</v>
      </c>
      <c r="F47" s="71"/>
      <c r="G47" s="71"/>
      <c r="H47" s="57"/>
      <c r="I47" s="71" t="s">
        <v>101</v>
      </c>
      <c r="J47" s="71"/>
      <c r="K47" s="71"/>
      <c r="L47" s="56"/>
    </row>
    <row r="48" spans="5:11" ht="13.5" thickTop="1">
      <c r="E48" s="51" t="s">
        <v>73</v>
      </c>
      <c r="F48" s="58" t="s">
        <v>71</v>
      </c>
      <c r="G48" s="61" t="s">
        <v>73</v>
      </c>
      <c r="H48" s="52"/>
      <c r="I48" s="51" t="s">
        <v>73</v>
      </c>
      <c r="J48" s="61" t="s">
        <v>71</v>
      </c>
      <c r="K48" s="53" t="s">
        <v>73</v>
      </c>
    </row>
    <row r="49" spans="5:11" ht="12.75">
      <c r="E49" s="51" t="s">
        <v>77</v>
      </c>
      <c r="F49" s="51" t="s">
        <v>74</v>
      </c>
      <c r="G49" s="60" t="s">
        <v>79</v>
      </c>
      <c r="H49" s="52"/>
      <c r="I49" s="51" t="s">
        <v>77</v>
      </c>
      <c r="J49" s="51" t="s">
        <v>74</v>
      </c>
      <c r="K49" s="60" t="s">
        <v>79</v>
      </c>
    </row>
    <row r="50" spans="5:11" ht="15">
      <c r="E50" s="54">
        <f>SUMIF($C$24:$C$45,"=3",$H$24:$H$45)</f>
        <v>0</v>
      </c>
      <c r="F50" s="59" t="s">
        <v>102</v>
      </c>
      <c r="G50" s="55">
        <f>SUMIF($C$24:$C$45,"=3",$J$24:$J$45)</f>
        <v>0</v>
      </c>
      <c r="H50" s="56"/>
      <c r="I50" s="54">
        <f>SUMIF($C$24:$C$45,"=3",$I$24:$I$45)</f>
        <v>0</v>
      </c>
      <c r="J50" s="59" t="s">
        <v>102</v>
      </c>
      <c r="K50" s="55">
        <f>SUMIF($C$24:$C$45,"=3",$K$24:$K$45)</f>
        <v>0</v>
      </c>
    </row>
    <row r="51" spans="5:11" ht="15">
      <c r="E51" s="54">
        <f>SUMIF($C$24:$C$45,"=4",$H$24:$H$45)</f>
        <v>0</v>
      </c>
      <c r="F51" s="52" t="s">
        <v>81</v>
      </c>
      <c r="G51" s="55">
        <f>SUMIF($C$24:$C$45,"=4",$J$24:$J$45)</f>
        <v>0</v>
      </c>
      <c r="H51" s="56"/>
      <c r="I51" s="54">
        <f>SUMIF($C$24:$C$45,"=4",$I$24:$I$45)</f>
        <v>178.5</v>
      </c>
      <c r="J51" s="52" t="s">
        <v>81</v>
      </c>
      <c r="K51" s="55">
        <f>SUMIF($C$24:$C$45,"=4",$K$24:$K$45)</f>
        <v>119.23800000000001</v>
      </c>
    </row>
    <row r="52" spans="5:11" ht="15">
      <c r="E52" s="54">
        <f>SUMIF($C$24:$C$45,"=5",$H$24:$H$45)</f>
        <v>0</v>
      </c>
      <c r="F52" s="52" t="s">
        <v>82</v>
      </c>
      <c r="G52" s="55">
        <f>SUMIF($C$24:$C$45,"=5",$J$24:$J$45)</f>
        <v>0</v>
      </c>
      <c r="H52" s="56"/>
      <c r="I52" s="54">
        <f>SUMIF($C$24:$C$45,"=5",$I$24:$I$45)</f>
        <v>471.25</v>
      </c>
      <c r="J52" s="52" t="s">
        <v>82</v>
      </c>
      <c r="K52" s="55">
        <f>SUMIF($C$24:$C$45,"=5",$K$24:$K$45)</f>
        <v>491.51374999999996</v>
      </c>
    </row>
    <row r="53" spans="5:11" ht="15">
      <c r="E53" s="54">
        <f>SUMIF($C$24:$C$45,"=6",$H$24:$H$45)</f>
        <v>0</v>
      </c>
      <c r="F53" s="52" t="s">
        <v>83</v>
      </c>
      <c r="G53" s="55">
        <f>SUMIF($C$24:$C$45,"=6",$J$24:$J$45)</f>
        <v>0</v>
      </c>
      <c r="H53" s="56"/>
      <c r="I53" s="54">
        <f>SUMIF($C$24:$C$45,"=6",$I$24:$I$45)</f>
        <v>4288.333333333333</v>
      </c>
      <c r="J53" s="52" t="s">
        <v>83</v>
      </c>
      <c r="K53" s="55">
        <f>SUMIF($C$24:$C$45,"=6",$K$24:$K$45)</f>
        <v>6441.076666666666</v>
      </c>
    </row>
    <row r="54" spans="5:11" ht="15">
      <c r="E54" s="54">
        <f>SUMIF($C$24:$C$45,"=7",$H$24:$H$45)</f>
        <v>0</v>
      </c>
      <c r="F54" s="52" t="s">
        <v>84</v>
      </c>
      <c r="G54" s="55">
        <f>SUMIF($C$24:$C$45,"=7",$J$24:$J$45)</f>
        <v>0</v>
      </c>
      <c r="H54" s="56"/>
      <c r="I54" s="54">
        <f>SUMIF($C$24:$C$45,"=7",$I$24:$I$45)</f>
        <v>116.33333333333333</v>
      </c>
      <c r="J54" s="52" t="s">
        <v>84</v>
      </c>
      <c r="K54" s="55">
        <f>SUMIF($C$24:$C$45,"=7",$K$24:$K$45)</f>
        <v>237.7853333333333</v>
      </c>
    </row>
    <row r="55" spans="5:11" ht="15">
      <c r="E55" s="54">
        <f>SUMIF($C$24:$C$45,"=8",$H$24:$H$45)</f>
        <v>0</v>
      </c>
      <c r="F55" s="52" t="s">
        <v>85</v>
      </c>
      <c r="G55" s="55">
        <f>SUMIF($C$24:$C$45,"=8",$J$24:$J$45)</f>
        <v>0</v>
      </c>
      <c r="H55" s="56"/>
      <c r="I55" s="54">
        <f>SUMIF($C$24:$C$45,"=8",$I$24:$I$45)</f>
        <v>214.16666666666669</v>
      </c>
      <c r="J55" s="52" t="s">
        <v>85</v>
      </c>
      <c r="K55" s="55">
        <f>SUMIF($C$24:$C$45,"=8",$K$24:$K$45)</f>
        <v>571.825</v>
      </c>
    </row>
    <row r="56" spans="5:11" ht="15">
      <c r="E56" s="54">
        <f>SUMIF($C$24:$C$45,"=9",$H$24:$H$45)</f>
        <v>0</v>
      </c>
      <c r="F56" s="52" t="s">
        <v>86</v>
      </c>
      <c r="G56" s="55">
        <f>SUMIF($C$24:$C$45,"=9",$J$24:$J$45)</f>
        <v>0</v>
      </c>
      <c r="H56" s="56"/>
      <c r="I56" s="54">
        <f>SUMIF($C$24:$C$45,"=9",$I$24:$I$45)</f>
        <v>85.66666666666667</v>
      </c>
      <c r="J56" s="52" t="s">
        <v>86</v>
      </c>
      <c r="K56" s="55">
        <f>SUMIF($C$24:$C$45,"=9",$K$24:$K$45)</f>
        <v>291.26666666666665</v>
      </c>
    </row>
    <row r="57" spans="5:11" ht="15">
      <c r="E57" s="54">
        <f>SUMIF($C$24:$C$45,"=10",$H$24:$H$45)</f>
        <v>0</v>
      </c>
      <c r="F57" s="52" t="s">
        <v>87</v>
      </c>
      <c r="G57" s="55">
        <f>SUMIF($C$24:$C$45,"=10",$J$24:$J$45)</f>
        <v>0</v>
      </c>
      <c r="H57" s="56"/>
      <c r="I57" s="54">
        <f>SUMIF($C$24:$C$45,"=10",$I$24:$I$45)</f>
        <v>0</v>
      </c>
      <c r="J57" s="52" t="s">
        <v>87</v>
      </c>
      <c r="K57" s="55">
        <f>SUMIF($C$24:$C$45,"=10",$K$24:$K$45)</f>
        <v>0</v>
      </c>
    </row>
    <row r="58" spans="5:11" ht="15">
      <c r="E58" s="54">
        <f>SUMIF($C$24:$C$45,"=11",$H$24:$H$45)</f>
        <v>0</v>
      </c>
      <c r="F58" s="52" t="s">
        <v>88</v>
      </c>
      <c r="G58" s="55">
        <f>SUMIF($C$24:$C$45,"=11",$J$24:$J$45)</f>
        <v>0</v>
      </c>
      <c r="H58" s="56"/>
      <c r="I58" s="54">
        <f>SUMIF($C$24:$C$45,"=11",$I$24:$I$45)</f>
        <v>2207</v>
      </c>
      <c r="J58" s="52" t="s">
        <v>88</v>
      </c>
      <c r="K58" s="55">
        <f>SUMIF($C$24:$C$45,"=11",$K$24:$K$45)</f>
        <v>11725.791</v>
      </c>
    </row>
    <row r="59" spans="5:11" ht="15">
      <c r="E59" s="69" t="s">
        <v>108</v>
      </c>
      <c r="F59" s="70"/>
      <c r="G59" s="62">
        <f>SUM(G50:G58)</f>
        <v>0</v>
      </c>
      <c r="H59" s="56"/>
      <c r="I59" s="69" t="s">
        <v>104</v>
      </c>
      <c r="J59" s="70"/>
      <c r="K59" s="62">
        <f>SUM(K50:K58)</f>
        <v>19878.496416666665</v>
      </c>
    </row>
    <row r="60" ht="12.75">
      <c r="H60" s="56"/>
    </row>
    <row r="62" ht="12.75">
      <c r="A62" s="12"/>
    </row>
  </sheetData>
  <sheetProtection/>
  <mergeCells count="12">
    <mergeCell ref="G1:I1"/>
    <mergeCell ref="A17:D17"/>
    <mergeCell ref="B1:E1"/>
    <mergeCell ref="B2:E2"/>
    <mergeCell ref="B3:E3"/>
    <mergeCell ref="B4:E4"/>
    <mergeCell ref="B5:E5"/>
    <mergeCell ref="E46:K46"/>
    <mergeCell ref="E47:G47"/>
    <mergeCell ref="I47:K47"/>
    <mergeCell ref="E59:F59"/>
    <mergeCell ref="I59:J59"/>
  </mergeCells>
  <dataValidations count="2">
    <dataValidation type="list" allowBlank="1" showInputMessage="1" showErrorMessage="1" sqref="B24:B42">
      <formula1>"E, N"</formula1>
    </dataValidation>
    <dataValidation type="list" allowBlank="1" showInputMessage="1" showErrorMessage="1" sqref="C24:C42">
      <formula1>"3, 4, 5, 6, 7, 8, 9, 10, 11"</formula1>
    </dataValidation>
  </dataValidations>
  <printOptions gridLines="1"/>
  <pageMargins left="0.25" right="0.25" top="0.5" bottom="0.5" header="0.25" footer="0.25"/>
  <pageSetup fitToHeight="0" fitToWidth="1" horizontalDpi="600" verticalDpi="600" orientation="landscape" scale="81" r:id="rId2"/>
  <headerFooter alignWithMargins="0">
    <oddHeader>&amp;C&amp;A&amp;R&amp;D</oddHeader>
    <oddFooter>&amp;CPage &amp;P of &amp;N</oddFooter>
  </headerFooter>
  <rowBreaks count="1" manualBreakCount="1">
    <brk id="44" max="255" man="1"/>
  </rowBreaks>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P57"/>
  <sheetViews>
    <sheetView zoomScalePageLayoutView="0" workbookViewId="0" topLeftCell="A1">
      <selection activeCell="P23" sqref="P23"/>
    </sheetView>
  </sheetViews>
  <sheetFormatPr defaultColWidth="10.28125" defaultRowHeight="12.75"/>
  <cols>
    <col min="1" max="1" width="43.8515625" style="26" bestFit="1" customWidth="1"/>
    <col min="2" max="2" width="2.421875" style="26" customWidth="1"/>
    <col min="3" max="3" width="4.7109375" style="26" bestFit="1" customWidth="1"/>
    <col min="4" max="4" width="6.57421875" style="26" bestFit="1" customWidth="1"/>
    <col min="5" max="5" width="8.57421875" style="26" bestFit="1" customWidth="1"/>
    <col min="6" max="6" width="8.7109375" style="26" bestFit="1" customWidth="1"/>
    <col min="7" max="7" width="10.140625" style="26" customWidth="1"/>
    <col min="8" max="8" width="12.8515625" style="26" bestFit="1" customWidth="1"/>
    <col min="9" max="9" width="10.28125" style="26" bestFit="1" customWidth="1"/>
    <col min="10" max="10" width="9.28125" style="26" bestFit="1" customWidth="1"/>
    <col min="11" max="11" width="8.7109375" style="26" bestFit="1" customWidth="1"/>
    <col min="12" max="12" width="7.00390625" style="26" bestFit="1" customWidth="1"/>
    <col min="13" max="13" width="8.57421875" style="26" bestFit="1" customWidth="1"/>
    <col min="14" max="14" width="6.8515625" style="26" bestFit="1" customWidth="1"/>
    <col min="15" max="16" width="10.140625" style="26" customWidth="1"/>
    <col min="17" max="16384" width="10.28125" style="26" customWidth="1"/>
  </cols>
  <sheetData>
    <row r="1" spans="1:9" ht="15.75">
      <c r="A1" s="38" t="str">
        <f>'Reinf S.S.'!A1</f>
        <v>Created By:</v>
      </c>
      <c r="B1" s="72" t="str">
        <f>'Reinf S.S.'!B1:E1</f>
        <v>XXXXXXXXX</v>
      </c>
      <c r="C1" s="73"/>
      <c r="D1" s="73"/>
      <c r="E1" s="73"/>
      <c r="F1" s="16"/>
      <c r="G1" s="67" t="s">
        <v>105</v>
      </c>
      <c r="H1" s="67"/>
      <c r="I1" s="67"/>
    </row>
    <row r="2" spans="1:9" ht="15">
      <c r="A2" s="38" t="str">
        <f>'Reinf S.S.'!A2</f>
        <v>Date Created:</v>
      </c>
      <c r="B2" s="74" t="str">
        <f>'Reinf S.S.'!B2:E2</f>
        <v>MM/DD/YYYY</v>
      </c>
      <c r="C2" s="73"/>
      <c r="D2" s="73"/>
      <c r="E2" s="73"/>
      <c r="F2" s="16"/>
      <c r="G2" s="28" t="s">
        <v>89</v>
      </c>
      <c r="H2" s="29" t="s">
        <v>93</v>
      </c>
      <c r="I2" s="30" t="s">
        <v>96</v>
      </c>
    </row>
    <row r="3" spans="1:9" ht="20.25" thickBot="1">
      <c r="A3" s="38" t="str">
        <f>'Reinf S.S.'!A3</f>
        <v>Project #</v>
      </c>
      <c r="B3" s="72" t="str">
        <f>'Reinf S.S.'!B3:E3</f>
        <v>XXXXXXXXX</v>
      </c>
      <c r="C3" s="72"/>
      <c r="D3" s="72"/>
      <c r="E3" s="72"/>
      <c r="F3" s="16"/>
      <c r="G3" s="31" t="s">
        <v>90</v>
      </c>
      <c r="H3" s="27" t="s">
        <v>94</v>
      </c>
      <c r="I3" s="32" t="s">
        <v>97</v>
      </c>
    </row>
    <row r="4" spans="1:9" ht="18.75" thickBot="1" thickTop="1">
      <c r="A4" s="38" t="str">
        <f>'Reinf S.S.'!A4</f>
        <v>Sub Account #</v>
      </c>
      <c r="B4" s="75" t="str">
        <f>'Reinf S.S.'!B4:E4</f>
        <v>XXXXX</v>
      </c>
      <c r="C4" s="75"/>
      <c r="D4" s="75"/>
      <c r="E4" s="75"/>
      <c r="F4" s="16"/>
      <c r="G4" s="33" t="s">
        <v>91</v>
      </c>
      <c r="H4" s="34" t="s">
        <v>95</v>
      </c>
      <c r="I4" s="35" t="s">
        <v>98</v>
      </c>
    </row>
    <row r="5" spans="1:9" ht="15.75" thickTop="1">
      <c r="A5" s="38" t="str">
        <f>'Reinf S.S.'!A5</f>
        <v>Structure #</v>
      </c>
      <c r="B5" s="72" t="str">
        <f>'Reinf S.S.'!B5:E5</f>
        <v>X-XX-XX</v>
      </c>
      <c r="C5" s="72"/>
      <c r="D5" s="72"/>
      <c r="E5" s="72"/>
      <c r="F5" s="16"/>
      <c r="G5" s="36" t="s">
        <v>92</v>
      </c>
      <c r="H5" s="37" t="s">
        <v>73</v>
      </c>
      <c r="I5" s="64" t="s">
        <v>111</v>
      </c>
    </row>
    <row r="6" spans="5:6" ht="12.75">
      <c r="E6" s="8"/>
      <c r="F6" s="10"/>
    </row>
    <row r="7" spans="5:6" ht="12.75">
      <c r="E7" s="8"/>
      <c r="F7" s="10"/>
    </row>
    <row r="8" spans="1:6" ht="12.75">
      <c r="A8" s="7"/>
      <c r="B8" s="16"/>
      <c r="C8" s="8"/>
      <c r="D8" s="10"/>
      <c r="E8" s="8"/>
      <c r="F8" s="10"/>
    </row>
    <row r="9" spans="1:14" ht="12.75" hidden="1">
      <c r="A9" s="9"/>
      <c r="B9" s="16"/>
      <c r="C9" s="50" t="s">
        <v>110</v>
      </c>
      <c r="D9" s="47">
        <v>3</v>
      </c>
      <c r="E9" s="47">
        <v>4</v>
      </c>
      <c r="F9" s="47">
        <v>5</v>
      </c>
      <c r="G9" s="47">
        <v>6</v>
      </c>
      <c r="H9" s="47">
        <v>7</v>
      </c>
      <c r="I9" s="47">
        <v>8</v>
      </c>
      <c r="J9" s="47">
        <v>9</v>
      </c>
      <c r="K9" s="47">
        <v>10</v>
      </c>
      <c r="L9" s="47">
        <v>11</v>
      </c>
      <c r="M9" s="16"/>
      <c r="N9" s="10"/>
    </row>
    <row r="10" spans="1:14" ht="12.75" hidden="1">
      <c r="A10" s="3"/>
      <c r="B10" s="16"/>
      <c r="C10" s="50" t="s">
        <v>109</v>
      </c>
      <c r="D10" s="48">
        <v>0.376</v>
      </c>
      <c r="E10" s="48">
        <v>0.668</v>
      </c>
      <c r="F10" s="48">
        <v>1.043</v>
      </c>
      <c r="G10" s="48">
        <v>1.502</v>
      </c>
      <c r="H10" s="48">
        <v>2.044</v>
      </c>
      <c r="I10" s="48">
        <v>2.67</v>
      </c>
      <c r="J10" s="48">
        <v>3.4</v>
      </c>
      <c r="K10" s="48">
        <v>4.303</v>
      </c>
      <c r="L10" s="48">
        <v>5.313</v>
      </c>
      <c r="M10" s="16"/>
      <c r="N10" s="16"/>
    </row>
    <row r="11" spans="1:6" ht="15">
      <c r="A11" s="39" t="s">
        <v>68</v>
      </c>
      <c r="B11" s="16"/>
      <c r="C11" s="8"/>
      <c r="D11" s="16"/>
      <c r="E11" s="8"/>
      <c r="F11" s="10"/>
    </row>
    <row r="12" spans="1:6" ht="15">
      <c r="A12" s="39" t="s">
        <v>103</v>
      </c>
      <c r="B12" s="11"/>
      <c r="C12" s="8"/>
      <c r="D12" s="16"/>
      <c r="E12" s="16"/>
      <c r="F12" s="16"/>
    </row>
    <row r="13" spans="1:6" ht="15">
      <c r="A13" s="39"/>
      <c r="B13" s="11"/>
      <c r="C13" s="8"/>
      <c r="D13" s="16"/>
      <c r="E13" s="16"/>
      <c r="F13" s="16"/>
    </row>
    <row r="14" spans="1:6" ht="15">
      <c r="A14" s="39"/>
      <c r="B14" s="11"/>
      <c r="C14" s="8"/>
      <c r="D14" s="16"/>
      <c r="E14" s="16"/>
      <c r="F14" s="16"/>
    </row>
    <row r="15" spans="1:6" ht="15">
      <c r="A15" s="39"/>
      <c r="B15" s="11"/>
      <c r="C15" s="8"/>
      <c r="D15" s="16"/>
      <c r="E15" s="16"/>
      <c r="F15" s="16"/>
    </row>
    <row r="16" spans="3:14" s="16" customFormat="1" ht="12.75">
      <c r="C16" s="8"/>
      <c r="G16" s="26"/>
      <c r="H16" s="26"/>
      <c r="I16" s="26"/>
      <c r="J16" s="26"/>
      <c r="K16" s="26"/>
      <c r="L16" s="26"/>
      <c r="M16" s="26"/>
      <c r="N16" s="26"/>
    </row>
    <row r="17" spans="1:14" s="16" customFormat="1" ht="18" thickBot="1">
      <c r="A17" s="68" t="s">
        <v>243</v>
      </c>
      <c r="B17" s="68"/>
      <c r="C17" s="68"/>
      <c r="D17" s="68"/>
      <c r="G17" s="26"/>
      <c r="H17" s="26"/>
      <c r="I17" s="26"/>
      <c r="J17" s="26"/>
      <c r="K17" s="26"/>
      <c r="L17" s="26"/>
      <c r="M17" s="26"/>
      <c r="N17" s="26"/>
    </row>
    <row r="18" spans="1:14" s="16" customFormat="1" ht="18.75" thickBot="1" thickTop="1">
      <c r="A18" s="66"/>
      <c r="B18" s="66"/>
      <c r="C18" s="66"/>
      <c r="D18" s="66"/>
      <c r="G18" s="26"/>
      <c r="H18" s="26"/>
      <c r="I18" s="26"/>
      <c r="J18" s="26"/>
      <c r="K18" s="26"/>
      <c r="L18" s="26"/>
      <c r="M18" s="26"/>
      <c r="N18" s="26"/>
    </row>
    <row r="19" spans="3:14" s="16" customFormat="1" ht="13.5" thickTop="1">
      <c r="C19" s="8"/>
      <c r="G19" s="26"/>
      <c r="H19" s="26"/>
      <c r="I19" s="26"/>
      <c r="J19" s="26"/>
      <c r="K19" s="26"/>
      <c r="L19" s="26"/>
      <c r="M19" s="26"/>
      <c r="N19" s="26"/>
    </row>
    <row r="20" spans="1:13" s="16" customFormat="1" ht="12.75">
      <c r="A20" s="22"/>
      <c r="B20" s="45" t="s">
        <v>17</v>
      </c>
      <c r="C20" s="22"/>
      <c r="D20" s="22"/>
      <c r="E20" s="22"/>
      <c r="F20" s="22"/>
      <c r="G20" s="22"/>
      <c r="H20" s="45" t="s">
        <v>107</v>
      </c>
      <c r="I20" s="22" t="s">
        <v>70</v>
      </c>
      <c r="J20" s="45" t="s">
        <v>107</v>
      </c>
      <c r="K20" s="22" t="s">
        <v>70</v>
      </c>
      <c r="L20" s="22"/>
      <c r="M20" s="22"/>
    </row>
    <row r="21" spans="1:13" s="16" customFormat="1" ht="12.75">
      <c r="A21" s="22"/>
      <c r="B21" s="22" t="s">
        <v>100</v>
      </c>
      <c r="C21" s="22" t="s">
        <v>71</v>
      </c>
      <c r="D21" s="22" t="s">
        <v>72</v>
      </c>
      <c r="E21" s="22" t="s">
        <v>71</v>
      </c>
      <c r="F21" s="22" t="s">
        <v>71</v>
      </c>
      <c r="G21" s="22" t="s">
        <v>71</v>
      </c>
      <c r="H21" s="22" t="s">
        <v>73</v>
      </c>
      <c r="I21" s="22" t="s">
        <v>73</v>
      </c>
      <c r="J21" s="22" t="s">
        <v>73</v>
      </c>
      <c r="K21" s="22" t="s">
        <v>73</v>
      </c>
      <c r="L21" s="22"/>
      <c r="M21" s="45" t="s">
        <v>71</v>
      </c>
    </row>
    <row r="22" spans="1:13" s="16" customFormat="1" ht="12.75">
      <c r="A22" s="46" t="s">
        <v>12</v>
      </c>
      <c r="B22" s="46" t="s">
        <v>26</v>
      </c>
      <c r="C22" s="46" t="s">
        <v>74</v>
      </c>
      <c r="D22" s="46" t="s">
        <v>75</v>
      </c>
      <c r="E22" s="46" t="s">
        <v>76</v>
      </c>
      <c r="F22" s="46" t="s">
        <v>77</v>
      </c>
      <c r="G22" s="46" t="s">
        <v>78</v>
      </c>
      <c r="H22" s="46" t="s">
        <v>77</v>
      </c>
      <c r="I22" s="46" t="s">
        <v>77</v>
      </c>
      <c r="J22" s="46" t="s">
        <v>79</v>
      </c>
      <c r="K22" s="46" t="s">
        <v>79</v>
      </c>
      <c r="L22" s="46" t="s">
        <v>79</v>
      </c>
      <c r="M22" s="46" t="s">
        <v>77</v>
      </c>
    </row>
    <row r="23" spans="1:13" s="16" customFormat="1" ht="18" thickBot="1">
      <c r="A23" s="25" t="s">
        <v>244</v>
      </c>
      <c r="C23" s="15"/>
      <c r="D23" s="15"/>
      <c r="F23" s="14"/>
      <c r="G23" s="15"/>
      <c r="I23" s="17"/>
      <c r="J23" s="18"/>
      <c r="K23" s="18"/>
      <c r="L23" s="19"/>
      <c r="M23" s="20"/>
    </row>
    <row r="24" spans="1:13" s="16" customFormat="1" ht="15.75" thickTop="1">
      <c r="A24" s="40" t="s">
        <v>114</v>
      </c>
      <c r="B24" s="49" t="s">
        <v>17</v>
      </c>
      <c r="C24" s="44">
        <v>4</v>
      </c>
      <c r="D24" s="44">
        <v>174</v>
      </c>
      <c r="E24" s="44" t="s">
        <v>176</v>
      </c>
      <c r="F24" s="44" t="s">
        <v>246</v>
      </c>
      <c r="G24" s="44"/>
      <c r="H24" s="23">
        <f>IF($B24="E",$D24*$M24,0)</f>
        <v>4067.25</v>
      </c>
      <c r="I24" s="41">
        <f>IF($B24="E",0,$D24*$M24)</f>
        <v>0</v>
      </c>
      <c r="J24" s="42">
        <f>$H24*$L24</f>
        <v>2716.9230000000002</v>
      </c>
      <c r="K24" s="63">
        <f>$I24*$L24</f>
        <v>0</v>
      </c>
      <c r="L24" s="43">
        <f>IF($B24="E",LOOKUP(C24,$D$9:$L$9,$D$10:$L$10),LOOKUP(C24,$D$9:$L$9,$D$10:$L$10))</f>
        <v>0.668</v>
      </c>
      <c r="M24" s="43">
        <f aca="true" t="shared" si="0" ref="M24:M37">(LEFT(F24,(FIND("'",F24)-1)))+((MID(F24,FIND("-",F24)+1,((FIND("""",F24)-(FIND("-",F24))-1))))/12)</f>
        <v>23.375</v>
      </c>
    </row>
    <row r="25" spans="1:13" s="16" customFormat="1" ht="15">
      <c r="A25" s="40" t="s">
        <v>245</v>
      </c>
      <c r="B25" s="49" t="s">
        <v>17</v>
      </c>
      <c r="C25" s="44">
        <v>5</v>
      </c>
      <c r="D25" s="44">
        <v>42</v>
      </c>
      <c r="E25" s="44" t="s">
        <v>138</v>
      </c>
      <c r="F25" s="44" t="s">
        <v>247</v>
      </c>
      <c r="G25" s="44" t="s">
        <v>117</v>
      </c>
      <c r="H25" s="23">
        <f aca="true" t="shared" si="1" ref="H25:H32">IF($B25="E",$D25*$M25,0)</f>
        <v>5404</v>
      </c>
      <c r="I25" s="41">
        <f aca="true" t="shared" si="2" ref="I25:I32">IF($B25="E",0,$D25*$M25)</f>
        <v>0</v>
      </c>
      <c r="J25" s="42">
        <f aca="true" t="shared" si="3" ref="J25:J32">$H25*$L25</f>
        <v>5636.371999999999</v>
      </c>
      <c r="K25" s="63">
        <f aca="true" t="shared" si="4" ref="K25:K32">$I25*$L25</f>
        <v>0</v>
      </c>
      <c r="L25" s="43">
        <f aca="true" t="shared" si="5" ref="L25:L31">IF($B25="E",LOOKUP(C25,$D$9:$L$9,$D$10:$L$10),LOOKUP(C25,$D$9:$L$9,$D$10:$L$10))</f>
        <v>1.043</v>
      </c>
      <c r="M25" s="43">
        <f t="shared" si="0"/>
        <v>128.66666666666666</v>
      </c>
    </row>
    <row r="26" spans="1:13" s="16" customFormat="1" ht="15">
      <c r="A26" s="40" t="s">
        <v>120</v>
      </c>
      <c r="B26" s="49" t="s">
        <v>17</v>
      </c>
      <c r="C26" s="44">
        <v>6</v>
      </c>
      <c r="D26" s="44">
        <v>516</v>
      </c>
      <c r="E26" s="44" t="s">
        <v>115</v>
      </c>
      <c r="F26" s="44" t="s">
        <v>248</v>
      </c>
      <c r="G26" s="44" t="s">
        <v>117</v>
      </c>
      <c r="H26" s="23">
        <f t="shared" si="1"/>
        <v>10427.5</v>
      </c>
      <c r="I26" s="41">
        <f t="shared" si="2"/>
        <v>0</v>
      </c>
      <c r="J26" s="42">
        <f t="shared" si="3"/>
        <v>15662.105</v>
      </c>
      <c r="K26" s="63">
        <f t="shared" si="4"/>
        <v>0</v>
      </c>
      <c r="L26" s="43">
        <f t="shared" si="5"/>
        <v>1.502</v>
      </c>
      <c r="M26" s="43">
        <f t="shared" si="0"/>
        <v>20.208333333333332</v>
      </c>
    </row>
    <row r="27" spans="1:13" s="16" customFormat="1" ht="15">
      <c r="A27" s="40" t="s">
        <v>118</v>
      </c>
      <c r="B27" s="49" t="s">
        <v>17</v>
      </c>
      <c r="C27" s="44">
        <v>5</v>
      </c>
      <c r="D27" s="44">
        <v>42</v>
      </c>
      <c r="E27" s="44" t="s">
        <v>138</v>
      </c>
      <c r="F27" s="44" t="s">
        <v>247</v>
      </c>
      <c r="G27" s="44" t="s">
        <v>117</v>
      </c>
      <c r="H27" s="23">
        <f t="shared" si="1"/>
        <v>5404</v>
      </c>
      <c r="I27" s="41">
        <f t="shared" si="2"/>
        <v>0</v>
      </c>
      <c r="J27" s="42">
        <f t="shared" si="3"/>
        <v>5636.371999999999</v>
      </c>
      <c r="K27" s="63">
        <f t="shared" si="4"/>
        <v>0</v>
      </c>
      <c r="L27" s="43">
        <f t="shared" si="5"/>
        <v>1.043</v>
      </c>
      <c r="M27" s="43">
        <f t="shared" si="0"/>
        <v>128.66666666666666</v>
      </c>
    </row>
    <row r="28" spans="1:13" s="16" customFormat="1" ht="15">
      <c r="A28" s="40" t="s">
        <v>250</v>
      </c>
      <c r="B28" s="49" t="s">
        <v>17</v>
      </c>
      <c r="C28" s="44">
        <v>5</v>
      </c>
      <c r="D28" s="44">
        <v>16</v>
      </c>
      <c r="E28" s="44"/>
      <c r="F28" s="44" t="s">
        <v>249</v>
      </c>
      <c r="G28" s="44" t="s">
        <v>117</v>
      </c>
      <c r="H28" s="23">
        <f t="shared" si="1"/>
        <v>104</v>
      </c>
      <c r="I28" s="41">
        <f t="shared" si="2"/>
        <v>0</v>
      </c>
      <c r="J28" s="42">
        <f t="shared" si="3"/>
        <v>108.472</v>
      </c>
      <c r="K28" s="63">
        <f t="shared" si="4"/>
        <v>0</v>
      </c>
      <c r="L28" s="43">
        <f t="shared" si="5"/>
        <v>1.043</v>
      </c>
      <c r="M28" s="43">
        <f t="shared" si="0"/>
        <v>6.5</v>
      </c>
    </row>
    <row r="29" spans="1:13" s="16" customFormat="1" ht="15">
      <c r="A29" s="40" t="s">
        <v>251</v>
      </c>
      <c r="B29" s="49" t="s">
        <v>17</v>
      </c>
      <c r="C29" s="44">
        <v>6</v>
      </c>
      <c r="D29" s="44">
        <v>8</v>
      </c>
      <c r="E29" s="44"/>
      <c r="F29" s="44" t="s">
        <v>227</v>
      </c>
      <c r="G29" s="44" t="s">
        <v>117</v>
      </c>
      <c r="H29" s="23">
        <f t="shared" si="1"/>
        <v>60</v>
      </c>
      <c r="I29" s="41">
        <f t="shared" si="2"/>
        <v>0</v>
      </c>
      <c r="J29" s="42">
        <f t="shared" si="3"/>
        <v>90.12</v>
      </c>
      <c r="K29" s="63">
        <f t="shared" si="4"/>
        <v>0</v>
      </c>
      <c r="L29" s="43">
        <f t="shared" si="5"/>
        <v>1.502</v>
      </c>
      <c r="M29" s="43">
        <f t="shared" si="0"/>
        <v>7.5</v>
      </c>
    </row>
    <row r="30" spans="1:13" s="16" customFormat="1" ht="15">
      <c r="A30" s="40" t="s">
        <v>252</v>
      </c>
      <c r="B30" s="49" t="s">
        <v>17</v>
      </c>
      <c r="C30" s="44">
        <v>5</v>
      </c>
      <c r="D30" s="44">
        <v>16</v>
      </c>
      <c r="E30" s="44"/>
      <c r="F30" s="44" t="s">
        <v>253</v>
      </c>
      <c r="G30" s="44" t="s">
        <v>117</v>
      </c>
      <c r="H30" s="23">
        <f t="shared" si="1"/>
        <v>48</v>
      </c>
      <c r="I30" s="41">
        <f t="shared" si="2"/>
        <v>0</v>
      </c>
      <c r="J30" s="42">
        <f t="shared" si="3"/>
        <v>50.06399999999999</v>
      </c>
      <c r="K30" s="63">
        <f t="shared" si="4"/>
        <v>0</v>
      </c>
      <c r="L30" s="43">
        <f>IF($B30="E",LOOKUP(C30,$D$9:$L$9,$D$10:$L$10),LOOKUP(C30,$D$9:$L$9,$D$10:$L$10))</f>
        <v>1.043</v>
      </c>
      <c r="M30" s="43">
        <f>(LEFT(F30,(FIND("'",F30)-1)))+((MID(F30,FIND("-",F30)+1,((FIND("""",F30)-(FIND("-",F30))-1))))/12)</f>
        <v>3</v>
      </c>
    </row>
    <row r="31" spans="1:13" s="16" customFormat="1" ht="15">
      <c r="A31" s="40" t="s">
        <v>254</v>
      </c>
      <c r="B31" s="49" t="s">
        <v>17</v>
      </c>
      <c r="C31" s="44">
        <v>4</v>
      </c>
      <c r="D31" s="44">
        <v>40</v>
      </c>
      <c r="E31" s="44"/>
      <c r="F31" s="44" t="s">
        <v>255</v>
      </c>
      <c r="G31" s="44" t="s">
        <v>117</v>
      </c>
      <c r="H31" s="23">
        <f t="shared" si="1"/>
        <v>100</v>
      </c>
      <c r="I31" s="41">
        <f t="shared" si="2"/>
        <v>0</v>
      </c>
      <c r="J31" s="42">
        <f t="shared" si="3"/>
        <v>66.8</v>
      </c>
      <c r="K31" s="63">
        <f t="shared" si="4"/>
        <v>0</v>
      </c>
      <c r="L31" s="43">
        <f t="shared" si="5"/>
        <v>0.668</v>
      </c>
      <c r="M31" s="43">
        <f t="shared" si="0"/>
        <v>2.5</v>
      </c>
    </row>
    <row r="32" spans="1:13" s="16" customFormat="1" ht="15">
      <c r="A32" s="40" t="s">
        <v>257</v>
      </c>
      <c r="B32" s="49" t="s">
        <v>17</v>
      </c>
      <c r="C32" s="44">
        <v>5</v>
      </c>
      <c r="D32" s="44">
        <v>8</v>
      </c>
      <c r="E32" s="44"/>
      <c r="F32" s="44" t="s">
        <v>258</v>
      </c>
      <c r="G32" s="44" t="s">
        <v>117</v>
      </c>
      <c r="H32" s="23">
        <f t="shared" si="1"/>
        <v>873.3333333333334</v>
      </c>
      <c r="I32" s="41">
        <f t="shared" si="2"/>
        <v>0</v>
      </c>
      <c r="J32" s="42">
        <f t="shared" si="3"/>
        <v>910.8866666666667</v>
      </c>
      <c r="K32" s="63">
        <f t="shared" si="4"/>
        <v>0</v>
      </c>
      <c r="L32" s="43">
        <f>IF($B32="E",LOOKUP(C32,$D$9:$L$9,$D$10:$L$10),LOOKUP(C32,$D$9:$L$9,$D$10:$L$10))</f>
        <v>1.043</v>
      </c>
      <c r="M32" s="43">
        <f>(LEFT(F32,(FIND("'",F32)-1)))+((MID(F32,FIND("-",F32)+1,((FIND("""",F32)-(FIND("-",F32))-1))))/12)</f>
        <v>109.16666666666667</v>
      </c>
    </row>
    <row r="33" spans="1:13" s="16" customFormat="1" ht="18" thickBot="1">
      <c r="A33" s="25" t="s">
        <v>256</v>
      </c>
      <c r="B33" s="26"/>
      <c r="C33" s="26"/>
      <c r="D33" s="26"/>
      <c r="E33" s="26"/>
      <c r="F33" s="26"/>
      <c r="G33" s="26"/>
      <c r="H33" s="26"/>
      <c r="I33" s="26"/>
      <c r="J33" s="26"/>
      <c r="K33" s="26"/>
      <c r="L33" s="26"/>
      <c r="M33" s="26"/>
    </row>
    <row r="34" spans="1:13" s="16" customFormat="1" ht="15.75" thickTop="1">
      <c r="A34" s="40" t="s">
        <v>259</v>
      </c>
      <c r="B34" s="49" t="s">
        <v>17</v>
      </c>
      <c r="C34" s="44">
        <v>5</v>
      </c>
      <c r="D34" s="44">
        <v>24</v>
      </c>
      <c r="E34" s="44"/>
      <c r="F34" s="44" t="s">
        <v>247</v>
      </c>
      <c r="G34" s="44" t="s">
        <v>117</v>
      </c>
      <c r="H34" s="23">
        <f>IF($B34="E",$D34*$M34,0)</f>
        <v>3088</v>
      </c>
      <c r="I34" s="41">
        <f>IF($B34="E",0,$D34*$M34)</f>
        <v>0</v>
      </c>
      <c r="J34" s="42">
        <f>$H34*$L34</f>
        <v>3220.7839999999997</v>
      </c>
      <c r="K34" s="63">
        <f>$I34*$L34</f>
        <v>0</v>
      </c>
      <c r="L34" s="43">
        <f>IF($B34="E",LOOKUP(C34,$D$9:$L$9,$D$10:$L$10),LOOKUP(C34,$D$9:$L$9,$D$10:$L$10))</f>
        <v>1.043</v>
      </c>
      <c r="M34" s="43">
        <f t="shared" si="0"/>
        <v>128.66666666666666</v>
      </c>
    </row>
    <row r="35" spans="1:13" s="16" customFormat="1" ht="15">
      <c r="A35" s="40" t="s">
        <v>161</v>
      </c>
      <c r="B35" s="49" t="s">
        <v>17</v>
      </c>
      <c r="C35" s="44">
        <v>5</v>
      </c>
      <c r="D35" s="44">
        <v>260</v>
      </c>
      <c r="E35" s="44"/>
      <c r="F35" s="44" t="s">
        <v>260</v>
      </c>
      <c r="G35" s="44" t="s">
        <v>215</v>
      </c>
      <c r="H35" s="23">
        <f>IF($B35="E",$D35*$M35,0)</f>
        <v>2036.6666666666665</v>
      </c>
      <c r="I35" s="41">
        <f>IF($B35="E",0,$D35*$M35)</f>
        <v>0</v>
      </c>
      <c r="J35" s="42">
        <f>$H35*$L35</f>
        <v>2124.243333333333</v>
      </c>
      <c r="K35" s="63">
        <f>$I35*$L35</f>
        <v>0</v>
      </c>
      <c r="L35" s="43">
        <f>IF($B35="E",LOOKUP(C35,$D$9:$L$9,$D$10:$L$10),LOOKUP(C35,$D$9:$L$9,$D$10:$L$10))</f>
        <v>1.043</v>
      </c>
      <c r="M35" s="43">
        <f t="shared" si="0"/>
        <v>7.833333333333333</v>
      </c>
    </row>
    <row r="36" spans="1:13" s="16" customFormat="1" ht="15">
      <c r="A36" s="40" t="s">
        <v>261</v>
      </c>
      <c r="B36" s="49" t="s">
        <v>17</v>
      </c>
      <c r="C36" s="44">
        <v>5</v>
      </c>
      <c r="D36" s="44">
        <v>12</v>
      </c>
      <c r="E36" s="44"/>
      <c r="F36" s="44" t="s">
        <v>262</v>
      </c>
      <c r="G36" s="44" t="s">
        <v>33</v>
      </c>
      <c r="H36" s="23">
        <f>IF($B36="E",$D36*$M36,0)</f>
        <v>50</v>
      </c>
      <c r="I36" s="41">
        <f>IF($B36="E",0,$D36*$M36)</f>
        <v>0</v>
      </c>
      <c r="J36" s="42">
        <f>$H36*$L36</f>
        <v>52.15</v>
      </c>
      <c r="K36" s="63">
        <f>$I36*$L36</f>
        <v>0</v>
      </c>
      <c r="L36" s="43">
        <f>IF($B36="E",LOOKUP(C36,$D$9:$L$9,$D$10:$L$10),LOOKUP(C36,$D$9:$L$9,$D$10:$L$10))</f>
        <v>1.043</v>
      </c>
      <c r="M36" s="43">
        <f t="shared" si="0"/>
        <v>4.166666666666667</v>
      </c>
    </row>
    <row r="37" spans="1:13" s="16" customFormat="1" ht="15">
      <c r="A37" s="40" t="s">
        <v>261</v>
      </c>
      <c r="B37" s="49" t="s">
        <v>17</v>
      </c>
      <c r="C37" s="44">
        <v>4</v>
      </c>
      <c r="D37" s="44">
        <v>12</v>
      </c>
      <c r="E37" s="44"/>
      <c r="F37" s="44" t="s">
        <v>263</v>
      </c>
      <c r="G37" s="44" t="s">
        <v>33</v>
      </c>
      <c r="H37" s="23">
        <f>IF($B37="E",$D37*$M37,0)</f>
        <v>44</v>
      </c>
      <c r="I37" s="41">
        <f>IF($B37="E",0,$D37*$M37)</f>
        <v>0</v>
      </c>
      <c r="J37" s="42">
        <f>$H37*$L37</f>
        <v>29.392000000000003</v>
      </c>
      <c r="K37" s="63">
        <f>$I37*$L37</f>
        <v>0</v>
      </c>
      <c r="L37" s="43">
        <f>IF($B37="E",LOOKUP(C37,$D$9:$L$9,$D$10:$L$10),LOOKUP(C37,$D$9:$L$9,$D$10:$L$10))</f>
        <v>0.668</v>
      </c>
      <c r="M37" s="43">
        <f t="shared" si="0"/>
        <v>3.6666666666666665</v>
      </c>
    </row>
    <row r="38" spans="3:16" s="16" customFormat="1" ht="12">
      <c r="C38" s="15"/>
      <c r="D38" s="15"/>
      <c r="F38" s="14"/>
      <c r="G38" s="15"/>
      <c r="H38" s="13"/>
      <c r="I38" s="13"/>
      <c r="J38" s="14"/>
      <c r="L38" s="17"/>
      <c r="M38" s="18"/>
      <c r="N38" s="18"/>
      <c r="O38" s="19"/>
      <c r="P38" s="20"/>
    </row>
    <row r="39" spans="3:16" s="16" customFormat="1" ht="12">
      <c r="C39" s="15"/>
      <c r="D39" s="15"/>
      <c r="F39" s="14"/>
      <c r="G39" s="15"/>
      <c r="H39" s="13"/>
      <c r="I39" s="13"/>
      <c r="J39" s="14"/>
      <c r="L39" s="17"/>
      <c r="M39" s="18"/>
      <c r="N39" s="18"/>
      <c r="O39" s="19"/>
      <c r="P39" s="20"/>
    </row>
    <row r="40" spans="3:16" s="16" customFormat="1" ht="12.75">
      <c r="C40" s="15"/>
      <c r="D40" s="15"/>
      <c r="F40" s="14"/>
      <c r="G40" s="15"/>
      <c r="H40" s="13"/>
      <c r="I40" s="13"/>
      <c r="J40" s="14"/>
      <c r="L40" s="21"/>
      <c r="M40" s="18"/>
      <c r="N40" s="18"/>
      <c r="O40" s="19"/>
      <c r="P40" s="20"/>
    </row>
    <row r="41" spans="5:11" ht="18" thickBot="1">
      <c r="E41" s="68" t="s">
        <v>242</v>
      </c>
      <c r="F41" s="68"/>
      <c r="G41" s="68"/>
      <c r="H41" s="68"/>
      <c r="I41" s="68"/>
      <c r="J41" s="68"/>
      <c r="K41" s="68"/>
    </row>
    <row r="42" spans="5:12" ht="18.75" thickBot="1" thickTop="1">
      <c r="E42" s="71" t="s">
        <v>106</v>
      </c>
      <c r="F42" s="71"/>
      <c r="G42" s="71"/>
      <c r="H42" s="57"/>
      <c r="I42" s="71" t="s">
        <v>101</v>
      </c>
      <c r="J42" s="71"/>
      <c r="K42" s="71"/>
      <c r="L42" s="56"/>
    </row>
    <row r="43" spans="5:11" ht="13.5" thickTop="1">
      <c r="E43" s="51" t="s">
        <v>73</v>
      </c>
      <c r="F43" s="58" t="s">
        <v>71</v>
      </c>
      <c r="G43" s="61" t="s">
        <v>73</v>
      </c>
      <c r="H43" s="52"/>
      <c r="I43" s="51" t="s">
        <v>73</v>
      </c>
      <c r="J43" s="61" t="s">
        <v>71</v>
      </c>
      <c r="K43" s="53" t="s">
        <v>73</v>
      </c>
    </row>
    <row r="44" spans="5:11" ht="12.75">
      <c r="E44" s="51" t="s">
        <v>77</v>
      </c>
      <c r="F44" s="51" t="s">
        <v>74</v>
      </c>
      <c r="G44" s="60" t="s">
        <v>79</v>
      </c>
      <c r="H44" s="52"/>
      <c r="I44" s="51" t="s">
        <v>77</v>
      </c>
      <c r="J44" s="51" t="s">
        <v>74</v>
      </c>
      <c r="K44" s="60" t="s">
        <v>79</v>
      </c>
    </row>
    <row r="45" spans="5:11" ht="15">
      <c r="E45" s="54">
        <f>SUMIF($C$24:$C$40,"=3",$H$24:$H$40)</f>
        <v>0</v>
      </c>
      <c r="F45" s="59" t="s">
        <v>102</v>
      </c>
      <c r="G45" s="55">
        <f>SUMIF($C$24:$C$40,"=3",$J$24:$J$40)</f>
        <v>0</v>
      </c>
      <c r="H45" s="56"/>
      <c r="I45" s="54">
        <f>SUMIF($C$24:$C$40,"=3",$I$24:$I$40)</f>
        <v>0</v>
      </c>
      <c r="J45" s="59" t="s">
        <v>102</v>
      </c>
      <c r="K45" s="55">
        <f>SUMIF($C$24:$C$40,"=3",$K$24:$K$40)</f>
        <v>0</v>
      </c>
    </row>
    <row r="46" spans="5:11" ht="15">
      <c r="E46" s="54">
        <f>SUMIF($C$24:$C$40,"=4",$H$24:$H$40)</f>
        <v>4211.25</v>
      </c>
      <c r="F46" s="52" t="s">
        <v>81</v>
      </c>
      <c r="G46" s="55">
        <f>SUMIF($C$24:$C$40,"=4",$J$24:$J$40)</f>
        <v>2813.1150000000002</v>
      </c>
      <c r="H46" s="56"/>
      <c r="I46" s="54">
        <f>SUMIF($C$24:$C$40,"=4",$I$24:$I$40)</f>
        <v>0</v>
      </c>
      <c r="J46" s="52" t="s">
        <v>81</v>
      </c>
      <c r="K46" s="55">
        <f>SUMIF($C$24:$C$40,"=4",$K$24:$K$40)</f>
        <v>0</v>
      </c>
    </row>
    <row r="47" spans="5:11" ht="15">
      <c r="E47" s="54">
        <f>SUMIF($C$24:$C$40,"=5",$H$24:$H$40)</f>
        <v>17008</v>
      </c>
      <c r="F47" s="52" t="s">
        <v>82</v>
      </c>
      <c r="G47" s="55">
        <f>SUMIF($C$24:$C$40,"=5",$J$24:$J$40)</f>
        <v>17739.344</v>
      </c>
      <c r="H47" s="56"/>
      <c r="I47" s="54">
        <f>SUMIF($C$24:$C$40,"=5",$I$24:$I$40)</f>
        <v>0</v>
      </c>
      <c r="J47" s="52" t="s">
        <v>82</v>
      </c>
      <c r="K47" s="55">
        <f>SUMIF($C$24:$C$40,"=5",$K$24:$K$40)</f>
        <v>0</v>
      </c>
    </row>
    <row r="48" spans="5:11" ht="15">
      <c r="E48" s="54">
        <f>SUMIF($C$24:$C$40,"=6",$H$24:$H$40)</f>
        <v>10487.5</v>
      </c>
      <c r="F48" s="52" t="s">
        <v>83</v>
      </c>
      <c r="G48" s="55">
        <f>SUMIF($C$24:$C$40,"=6",$J$24:$J$40)</f>
        <v>15752.225</v>
      </c>
      <c r="H48" s="56"/>
      <c r="I48" s="54">
        <f>SUMIF($C$24:$C$40,"=6",$I$24:$I$40)</f>
        <v>0</v>
      </c>
      <c r="J48" s="52" t="s">
        <v>83</v>
      </c>
      <c r="K48" s="55">
        <f>SUMIF($C$24:$C$40,"=6",$K$24:$K$40)</f>
        <v>0</v>
      </c>
    </row>
    <row r="49" spans="5:11" ht="15">
      <c r="E49" s="54">
        <f>SUMIF($C$24:$C$40,"=7",$H$24:$H$40)</f>
        <v>0</v>
      </c>
      <c r="F49" s="52" t="s">
        <v>84</v>
      </c>
      <c r="G49" s="55">
        <f>SUMIF($C$24:$C$40,"=7",$J$24:$J$40)</f>
        <v>0</v>
      </c>
      <c r="H49" s="56"/>
      <c r="I49" s="54">
        <f>SUMIF($C$24:$C$40,"=7",$I$24:$I$40)</f>
        <v>0</v>
      </c>
      <c r="J49" s="52" t="s">
        <v>84</v>
      </c>
      <c r="K49" s="55">
        <f>SUMIF($C$24:$C$40,"=7",$K$24:$K$40)</f>
        <v>0</v>
      </c>
    </row>
    <row r="50" spans="5:11" ht="15">
      <c r="E50" s="54">
        <f>SUMIF($C$24:$C$40,"=8",$H$24:$H$40)</f>
        <v>0</v>
      </c>
      <c r="F50" s="52" t="s">
        <v>85</v>
      </c>
      <c r="G50" s="55">
        <f>SUMIF($C$24:$C$40,"=8",$J$24:$J$40)</f>
        <v>0</v>
      </c>
      <c r="H50" s="56"/>
      <c r="I50" s="54">
        <f>SUMIF($C$24:$C$40,"=8",$I$24:$I$40)</f>
        <v>0</v>
      </c>
      <c r="J50" s="52" t="s">
        <v>85</v>
      </c>
      <c r="K50" s="55">
        <f>SUMIF($C$24:$C$40,"=8",$K$24:$K$40)</f>
        <v>0</v>
      </c>
    </row>
    <row r="51" spans="5:11" ht="15">
      <c r="E51" s="54">
        <f>SUMIF($C$24:$C$40,"=9",$H$24:$H$40)</f>
        <v>0</v>
      </c>
      <c r="F51" s="52" t="s">
        <v>86</v>
      </c>
      <c r="G51" s="55">
        <f>SUMIF($C$24:$C$40,"=9",$J$24:$J$40)</f>
        <v>0</v>
      </c>
      <c r="H51" s="56"/>
      <c r="I51" s="54">
        <f>SUMIF($C$24:$C$40,"=9",$I$24:$I$40)</f>
        <v>0</v>
      </c>
      <c r="J51" s="52" t="s">
        <v>86</v>
      </c>
      <c r="K51" s="55">
        <f>SUMIF($C$24:$C$40,"=9",$K$24:$K$40)</f>
        <v>0</v>
      </c>
    </row>
    <row r="52" spans="5:11" ht="15">
      <c r="E52" s="54">
        <f>SUMIF($C$24:$C$40,"=10",$H$24:$H$40)</f>
        <v>0</v>
      </c>
      <c r="F52" s="52" t="s">
        <v>87</v>
      </c>
      <c r="G52" s="55">
        <f>SUMIF($C$24:$C$40,"=10",$J$24:$J$40)</f>
        <v>0</v>
      </c>
      <c r="H52" s="56"/>
      <c r="I52" s="54">
        <f>SUMIF($C$24:$C$40,"=10",$I$24:$I$40)</f>
        <v>0</v>
      </c>
      <c r="J52" s="52" t="s">
        <v>87</v>
      </c>
      <c r="K52" s="55">
        <f>SUMIF($C$24:$C$40,"=10",$K$24:$K$40)</f>
        <v>0</v>
      </c>
    </row>
    <row r="53" spans="5:11" ht="15">
      <c r="E53" s="54">
        <f>SUMIF($C$24:$C$40,"=11",$H$24:$H$40)</f>
        <v>0</v>
      </c>
      <c r="F53" s="52" t="s">
        <v>88</v>
      </c>
      <c r="G53" s="55">
        <f>SUMIF($C$24:$C$40,"=11",$J$24:$J$40)</f>
        <v>0</v>
      </c>
      <c r="H53" s="56"/>
      <c r="I53" s="54">
        <f>SUMIF($C$24:$C$40,"=11",$I$24:$I$40)</f>
        <v>0</v>
      </c>
      <c r="J53" s="52" t="s">
        <v>88</v>
      </c>
      <c r="K53" s="55">
        <f>SUMIF($C$24:$C$40,"=11",$K$24:$K$40)</f>
        <v>0</v>
      </c>
    </row>
    <row r="54" spans="5:11" ht="15">
      <c r="E54" s="69" t="s">
        <v>108</v>
      </c>
      <c r="F54" s="70"/>
      <c r="G54" s="62">
        <f>SUM(G45:G53)</f>
        <v>36304.684</v>
      </c>
      <c r="H54" s="56"/>
      <c r="I54" s="69" t="s">
        <v>104</v>
      </c>
      <c r="J54" s="70"/>
      <c r="K54" s="62">
        <f>SUM(K45:K53)</f>
        <v>0</v>
      </c>
    </row>
    <row r="55" ht="12.75">
      <c r="H55" s="56"/>
    </row>
    <row r="57" ht="12.75">
      <c r="A57" s="12"/>
    </row>
  </sheetData>
  <sheetProtection/>
  <mergeCells count="12">
    <mergeCell ref="G1:I1"/>
    <mergeCell ref="A17:D17"/>
    <mergeCell ref="B1:E1"/>
    <mergeCell ref="B2:E2"/>
    <mergeCell ref="B3:E3"/>
    <mergeCell ref="B4:E4"/>
    <mergeCell ref="B5:E5"/>
    <mergeCell ref="E41:K41"/>
    <mergeCell ref="E42:G42"/>
    <mergeCell ref="I42:K42"/>
    <mergeCell ref="E54:F54"/>
    <mergeCell ref="I54:J54"/>
  </mergeCells>
  <dataValidations count="2">
    <dataValidation type="list" allowBlank="1" showInputMessage="1" showErrorMessage="1" sqref="C24:C37">
      <formula1>"3, 4, 5, 6, 7, 8, 9, 10, 11"</formula1>
    </dataValidation>
    <dataValidation type="list" allowBlank="1" showInputMessage="1" showErrorMessage="1" sqref="B24:B37">
      <formula1>"E, N"</formula1>
    </dataValidation>
  </dataValidations>
  <printOptions gridLines="1"/>
  <pageMargins left="0.25" right="0.25" top="0.5" bottom="0.5" header="0.25" footer="0.25"/>
  <pageSetup fitToHeight="0" fitToWidth="1" horizontalDpi="600" verticalDpi="600" orientation="landscape" scale="80" r:id="rId2"/>
  <headerFooter alignWithMargins="0">
    <oddHeader>&amp;C&amp;A&amp;R&amp;D</oddHeader>
    <oddFooter>&amp;CPage &amp;P of &amp;N</oddFooter>
  </headerFooter>
  <rowBreaks count="1" manualBreakCount="1">
    <brk id="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CDOT Staff Bridge</dc:creator>
  <cp:keywords/>
  <dc:description/>
  <cp:lastModifiedBy>Conger, Dana</cp:lastModifiedBy>
  <cp:lastPrinted>2014-09-10T18:32:59Z</cp:lastPrinted>
  <dcterms:created xsi:type="dcterms:W3CDTF">2005-10-20T15:21:07Z</dcterms:created>
  <dcterms:modified xsi:type="dcterms:W3CDTF">2014-09-10T18:37:39Z</dcterms:modified>
  <cp:category/>
  <cp:version/>
  <cp:contentType/>
  <cp:contentStatus/>
</cp:coreProperties>
</file>