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rollinse\Desktop\ghg calcs\"/>
    </mc:Choice>
  </mc:AlternateContent>
  <xr:revisionPtr revIDLastSave="0" documentId="8_{66C99855-F084-4B9B-AD9B-138A211F2E2E}" xr6:coauthVersionLast="47" xr6:coauthVersionMax="47" xr10:uidLastSave="{00000000-0000-0000-0000-000000000000}"/>
  <bookViews>
    <workbookView xWindow="2775" yWindow="180" windowWidth="15870" windowHeight="12195" tabRatio="574" activeTab="1" xr2:uid="{B8FC14B7-140C-458B-B0FA-1037BB5D34CD}"/>
  </bookViews>
  <sheets>
    <sheet name="Bike-Ped" sheetId="4" r:id="rId1"/>
    <sheet name="Transit" sheetId="2" r:id="rId2"/>
    <sheet name="MD-HD" sheetId="7" r:id="rId3"/>
    <sheet name="Parking" sheetId="6" r:id="rId4"/>
    <sheet name="Land Use" sheetId="12" r:id="rId5"/>
    <sheet name="TDM" sheetId="5" r:id="rId6"/>
    <sheet name="Operations" sheetId="9" r:id="rId7"/>
    <sheet name="Sources" sheetId="8" r:id="rId8"/>
  </sheets>
  <externalReferences>
    <externalReference r:id="rId9"/>
    <externalReference r:id="rId10"/>
    <externalReference r:id="rId11"/>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13" i="2" l="1"/>
  <c r="O13" i="2"/>
  <c r="P14" i="2"/>
  <c r="H13" i="2" s="1"/>
  <c r="O14" i="2"/>
  <c r="G13" i="2" s="1"/>
  <c r="N14" i="2"/>
  <c r="F13" i="2" s="1"/>
  <c r="M14" i="2"/>
  <c r="E13" i="2" s="1"/>
  <c r="E28" i="2" l="1"/>
  <c r="E49" i="2"/>
  <c r="E36" i="2"/>
  <c r="E12" i="4"/>
  <c r="F12" i="4"/>
  <c r="G12" i="4"/>
  <c r="E13" i="4"/>
  <c r="F13" i="4"/>
  <c r="G13" i="4"/>
  <c r="E14" i="4"/>
  <c r="F14" i="4"/>
  <c r="G14" i="4"/>
  <c r="E15" i="4"/>
  <c r="F15" i="4"/>
  <c r="G15" i="4"/>
  <c r="D12" i="4"/>
  <c r="D13" i="4"/>
  <c r="D14" i="4"/>
  <c r="D15" i="4"/>
  <c r="E11" i="4"/>
  <c r="F11" i="4"/>
  <c r="G11" i="4"/>
  <c r="D11" i="4"/>
  <c r="E38" i="2" l="1"/>
  <c r="E76" i="2" l="1"/>
  <c r="D28" i="5"/>
  <c r="D22" i="5" l="1"/>
  <c r="D23" i="5" l="1"/>
  <c r="F75" i="2"/>
  <c r="D92" i="6"/>
  <c r="D93" i="6"/>
  <c r="D94" i="6"/>
  <c r="D95" i="6"/>
  <c r="D97" i="6"/>
  <c r="D98" i="6"/>
  <c r="D8" i="9" l="1"/>
  <c r="D22" i="9" s="1"/>
  <c r="D23" i="9"/>
  <c r="D56" i="5"/>
  <c r="D29" i="5" l="1"/>
  <c r="D9" i="12"/>
  <c r="L76" i="2"/>
  <c r="L77" i="2"/>
  <c r="L78" i="2"/>
  <c r="L79" i="2"/>
  <c r="L80" i="2"/>
  <c r="L81" i="2"/>
  <c r="L82" i="2"/>
  <c r="M82" i="2"/>
  <c r="N82" i="2"/>
  <c r="N85" i="2" s="1"/>
  <c r="O82" i="2"/>
  <c r="P82" i="2"/>
  <c r="P85" i="2" s="1"/>
  <c r="L83" i="2"/>
  <c r="L84" i="2"/>
  <c r="L85" i="2"/>
  <c r="O85" i="2" l="1"/>
  <c r="M85" i="2"/>
  <c r="D169" i="6" l="1"/>
  <c r="E169" i="6" s="1"/>
  <c r="E175" i="6"/>
  <c r="C170" i="6"/>
  <c r="C171" i="6" s="1"/>
  <c r="D171" i="6" s="1"/>
  <c r="E171" i="6" s="1"/>
  <c r="E157" i="6"/>
  <c r="E146" i="6"/>
  <c r="E121" i="6"/>
  <c r="D75" i="6"/>
  <c r="D170" i="6" l="1"/>
  <c r="E170" i="6" s="1"/>
  <c r="C172" i="6"/>
  <c r="D172" i="6" s="1"/>
  <c r="E172" i="6" s="1"/>
  <c r="D85" i="6"/>
  <c r="D84" i="6"/>
  <c r="D82" i="6"/>
  <c r="D83" i="6"/>
  <c r="F20" i="2" l="1"/>
  <c r="G20" i="2" s="1"/>
  <c r="H20" i="2" s="1"/>
  <c r="D62" i="6"/>
  <c r="D63" i="6"/>
  <c r="D61" i="6"/>
  <c r="D69" i="5" l="1"/>
  <c r="D71" i="5" s="1"/>
  <c r="F76" i="2" l="1"/>
  <c r="E82" i="2" l="1"/>
  <c r="E81" i="2"/>
  <c r="G75" i="2"/>
  <c r="F81" i="2"/>
  <c r="F82" i="2"/>
  <c r="G76" i="2"/>
  <c r="D60" i="5"/>
  <c r="D62" i="5" s="1"/>
  <c r="H75" i="2" l="1"/>
  <c r="G81" i="2"/>
  <c r="G82" i="2"/>
  <c r="H76" i="2"/>
  <c r="H81" i="2" l="1"/>
  <c r="H82" i="2"/>
  <c r="D29" i="12"/>
  <c r="D30" i="12" s="1"/>
  <c r="D27" i="12"/>
  <c r="D20" i="12"/>
  <c r="D11" i="12"/>
  <c r="H9" i="12"/>
  <c r="E21" i="5"/>
  <c r="F21" i="5" s="1"/>
  <c r="F31" i="4"/>
  <c r="F30" i="4"/>
  <c r="F29" i="4"/>
  <c r="F28" i="4"/>
  <c r="F27" i="4"/>
  <c r="F26" i="4"/>
  <c r="F25" i="4"/>
  <c r="F24" i="4"/>
  <c r="E38" i="4"/>
  <c r="D38" i="4"/>
  <c r="F38" i="4" s="1"/>
  <c r="E37" i="4"/>
  <c r="D37" i="4"/>
  <c r="F37" i="4" s="1"/>
  <c r="E36" i="4"/>
  <c r="D36" i="4"/>
  <c r="E35" i="4"/>
  <c r="F35" i="4" s="1"/>
  <c r="E34" i="4"/>
  <c r="F34" i="4" s="1"/>
  <c r="E33" i="4"/>
  <c r="F33" i="4" s="1"/>
  <c r="E32" i="4"/>
  <c r="F32" i="4" s="1"/>
  <c r="D30" i="9"/>
  <c r="D31" i="9"/>
  <c r="P34" i="9"/>
  <c r="Q34" i="9"/>
  <c r="Q33" i="9"/>
  <c r="P33" i="9"/>
  <c r="D40" i="12" l="1"/>
  <c r="D31" i="12"/>
  <c r="D21" i="12"/>
  <c r="F36" i="4"/>
  <c r="D35" i="12"/>
  <c r="E21" i="12"/>
  <c r="E31" i="12"/>
  <c r="G31" i="12"/>
  <c r="F31" i="12"/>
  <c r="F21" i="12"/>
  <c r="G21" i="12"/>
  <c r="G21" i="5"/>
  <c r="D41" i="12" l="1"/>
  <c r="D36" i="12"/>
  <c r="D42" i="12"/>
  <c r="G22" i="12"/>
  <c r="G41" i="12"/>
  <c r="G42" i="12" s="1"/>
  <c r="F22" i="12"/>
  <c r="F41" i="12"/>
  <c r="F42" i="12" s="1"/>
  <c r="E22" i="12"/>
  <c r="E41" i="12"/>
  <c r="E42" i="12" s="1"/>
  <c r="F36" i="12"/>
  <c r="F37" i="12" s="1"/>
  <c r="E36" i="12"/>
  <c r="E37" i="12" s="1"/>
  <c r="G36" i="12"/>
  <c r="G37" i="12" s="1"/>
  <c r="D37" i="12"/>
  <c r="D22" i="12"/>
  <c r="G32" i="12" l="1"/>
  <c r="E32" i="12"/>
  <c r="F32" i="12"/>
  <c r="D32" i="12"/>
  <c r="R34" i="9" l="1"/>
  <c r="D20" i="9"/>
  <c r="D15" i="9"/>
  <c r="R33" i="9" l="1"/>
  <c r="R35" i="9" s="1"/>
  <c r="D32" i="9" s="1"/>
  <c r="K8" i="7"/>
  <c r="K11" i="7" s="1"/>
  <c r="K14" i="7" s="1"/>
  <c r="P81" i="2" l="1"/>
  <c r="M81" i="2"/>
  <c r="O81" i="2"/>
  <c r="N81" i="2"/>
  <c r="D33" i="9"/>
  <c r="E52" i="7" l="1"/>
  <c r="F52" i="7" s="1"/>
  <c r="G52" i="7" s="1"/>
  <c r="D49" i="7"/>
  <c r="D50" i="7" s="1"/>
  <c r="D53" i="7" s="1"/>
  <c r="E48" i="7"/>
  <c r="F48" i="7" s="1"/>
  <c r="G48" i="7" s="1"/>
  <c r="E47" i="7"/>
  <c r="F47" i="7" s="1"/>
  <c r="G47" i="7" s="1"/>
  <c r="F43" i="7"/>
  <c r="G43" i="7" s="1"/>
  <c r="D42" i="7"/>
  <c r="G49" i="7" l="1"/>
  <c r="G50" i="7" s="1"/>
  <c r="G53" i="7" s="1"/>
  <c r="E49" i="7"/>
  <c r="E50" i="7" s="1"/>
  <c r="E53" i="7" s="1"/>
  <c r="D44" i="7"/>
  <c r="F49" i="7"/>
  <c r="F50" i="7" s="1"/>
  <c r="F53" i="7" s="1"/>
  <c r="E42" i="7"/>
  <c r="F42" i="7" l="1"/>
  <c r="G42" i="7" l="1"/>
  <c r="E44" i="7" l="1"/>
  <c r="D11" i="6"/>
  <c r="D38" i="6"/>
  <c r="H9" i="6"/>
  <c r="D31" i="6"/>
  <c r="D28" i="9"/>
  <c r="D29" i="9" s="1"/>
  <c r="E42" i="4"/>
  <c r="F42" i="4" s="1"/>
  <c r="E41" i="4"/>
  <c r="F41" i="4" s="1"/>
  <c r="D63" i="4" s="1"/>
  <c r="D77" i="6" l="1"/>
  <c r="D90" i="6"/>
  <c r="D88" i="6"/>
  <c r="D89" i="6"/>
  <c r="D87" i="6"/>
  <c r="D39" i="6"/>
  <c r="D41" i="6" s="1"/>
  <c r="E41" i="6" s="1"/>
  <c r="F44" i="7"/>
  <c r="D32" i="6"/>
  <c r="F41" i="6" l="1"/>
  <c r="G41" i="6" l="1"/>
  <c r="G44" i="7"/>
  <c r="D6" i="9" l="1"/>
  <c r="D13" i="7"/>
  <c r="D55" i="7" s="1"/>
  <c r="D11" i="7"/>
  <c r="D9" i="7"/>
  <c r="D5" i="7"/>
  <c r="D7" i="7" s="1"/>
  <c r="D26" i="7" s="1"/>
  <c r="D34" i="7" s="1"/>
  <c r="D14" i="2" l="1"/>
  <c r="D13" i="2"/>
  <c r="E29" i="2" l="1"/>
  <c r="E31" i="2" s="1"/>
  <c r="E18" i="2"/>
  <c r="E16" i="2"/>
  <c r="E39" i="2" s="1"/>
  <c r="E41" i="2" s="1"/>
  <c r="M84" i="2"/>
  <c r="E14" i="2"/>
  <c r="E48" i="2" s="1"/>
  <c r="F13" i="7"/>
  <c r="F55" i="7" s="1"/>
  <c r="E13" i="7"/>
  <c r="E55" i="7" s="1"/>
  <c r="D30" i="7"/>
  <c r="D38" i="7" s="1"/>
  <c r="M79" i="2" l="1"/>
  <c r="N78" i="2"/>
  <c r="O78" i="2"/>
  <c r="G85" i="2" s="1"/>
  <c r="P78" i="2"/>
  <c r="H85" i="2" s="1"/>
  <c r="M78" i="2"/>
  <c r="P77" i="2"/>
  <c r="P80" i="2"/>
  <c r="N77" i="2"/>
  <c r="M77" i="2"/>
  <c r="N80" i="2"/>
  <c r="O77" i="2"/>
  <c r="O80" i="2"/>
  <c r="M80" i="2"/>
  <c r="N76" i="2"/>
  <c r="M76" i="2"/>
  <c r="P76" i="2"/>
  <c r="O76" i="2"/>
  <c r="D63" i="5"/>
  <c r="D64" i="5" s="1"/>
  <c r="D72" i="5"/>
  <c r="D99" i="6"/>
  <c r="D100" i="6"/>
  <c r="D65" i="6"/>
  <c r="D69" i="6" s="1"/>
  <c r="D66" i="6"/>
  <c r="D70" i="6" s="1"/>
  <c r="D67" i="6"/>
  <c r="D71" i="6" s="1"/>
  <c r="E85" i="2"/>
  <c r="E42" i="2"/>
  <c r="E44" i="2" s="1"/>
  <c r="D53" i="6"/>
  <c r="D57" i="6" s="1"/>
  <c r="D51" i="6"/>
  <c r="D55" i="6" s="1"/>
  <c r="D52" i="6"/>
  <c r="D56" i="6" s="1"/>
  <c r="D33" i="6"/>
  <c r="E84" i="2"/>
  <c r="D24" i="5"/>
  <c r="D46" i="4"/>
  <c r="D66" i="4" s="1"/>
  <c r="D51" i="4"/>
  <c r="D71" i="4" s="1"/>
  <c r="D54" i="4"/>
  <c r="D74" i="4" s="1"/>
  <c r="D50" i="4"/>
  <c r="D70" i="4" s="1"/>
  <c r="D58" i="4"/>
  <c r="D78" i="4" s="1"/>
  <c r="D57" i="4"/>
  <c r="D77" i="4" s="1"/>
  <c r="D55" i="4"/>
  <c r="D75" i="4" s="1"/>
  <c r="D49" i="4"/>
  <c r="D69" i="4" s="1"/>
  <c r="D48" i="4"/>
  <c r="D68" i="4" s="1"/>
  <c r="D56" i="4"/>
  <c r="D76" i="4" s="1"/>
  <c r="D53" i="4"/>
  <c r="D73" i="4" s="1"/>
  <c r="D47" i="4"/>
  <c r="D52" i="4"/>
  <c r="D72" i="4" s="1"/>
  <c r="D42" i="6"/>
  <c r="D43" i="6" s="1"/>
  <c r="G13" i="7"/>
  <c r="G55" i="7" s="1"/>
  <c r="F56" i="7"/>
  <c r="E30" i="7"/>
  <c r="E38" i="7" s="1"/>
  <c r="E56" i="7"/>
  <c r="D83" i="4"/>
  <c r="D64" i="4"/>
  <c r="D84" i="4" s="1"/>
  <c r="F30" i="7"/>
  <c r="F38" i="7" s="1"/>
  <c r="D17" i="9"/>
  <c r="D18" i="9" s="1"/>
  <c r="F6" i="9"/>
  <c r="G6" i="9" s="1"/>
  <c r="E6" i="9"/>
  <c r="G23" i="9"/>
  <c r="F23" i="9"/>
  <c r="E23" i="9"/>
  <c r="E23" i="2"/>
  <c r="E43" i="2" l="1"/>
  <c r="G30" i="7"/>
  <c r="G38" i="7" s="1"/>
  <c r="G56" i="7"/>
  <c r="D24" i="9"/>
  <c r="D25" i="9" s="1"/>
  <c r="E8" i="9"/>
  <c r="E22" i="9" s="1"/>
  <c r="E24" i="9" s="1"/>
  <c r="G8" i="9"/>
  <c r="F8" i="9"/>
  <c r="F22" i="9" s="1"/>
  <c r="F24" i="9" s="1"/>
  <c r="G22" i="9" l="1"/>
  <c r="G24" i="9" s="1"/>
  <c r="G25" i="9" s="1"/>
  <c r="F25" i="9"/>
  <c r="E25" i="9" l="1"/>
  <c r="F11" i="7"/>
  <c r="E11" i="7"/>
  <c r="E29" i="7" s="1"/>
  <c r="E37" i="7" s="1"/>
  <c r="D29" i="7"/>
  <c r="D37" i="7" s="1"/>
  <c r="F9" i="7"/>
  <c r="E28" i="9" l="1"/>
  <c r="E29" i="9" s="1"/>
  <c r="E32" i="9"/>
  <c r="G9" i="7"/>
  <c r="G28" i="7" s="1"/>
  <c r="G36" i="7" s="1"/>
  <c r="F28" i="7"/>
  <c r="F36" i="7" s="1"/>
  <c r="D28" i="7"/>
  <c r="D36" i="7" s="1"/>
  <c r="G11" i="7"/>
  <c r="G29" i="7" s="1"/>
  <c r="G37" i="7" s="1"/>
  <c r="F29" i="7"/>
  <c r="F37" i="7" s="1"/>
  <c r="E9" i="7"/>
  <c r="E28" i="7" s="1"/>
  <c r="E36" i="7" s="1"/>
  <c r="F28" i="9" l="1"/>
  <c r="G28" i="9" s="1"/>
  <c r="G29" i="9" s="1"/>
  <c r="E33" i="9"/>
  <c r="F32" i="9"/>
  <c r="G5" i="7"/>
  <c r="F5" i="7"/>
  <c r="E5" i="7"/>
  <c r="D27" i="7"/>
  <c r="D35" i="7" s="1"/>
  <c r="F29" i="9" l="1"/>
  <c r="G32" i="9"/>
  <c r="G33" i="9" s="1"/>
  <c r="F33" i="9"/>
  <c r="G27" i="7"/>
  <c r="G35" i="7" s="1"/>
  <c r="G7" i="7"/>
  <c r="G26" i="7" s="1"/>
  <c r="G34" i="7" s="1"/>
  <c r="F27" i="7"/>
  <c r="F35" i="7" s="1"/>
  <c r="F7" i="7"/>
  <c r="F26" i="7" s="1"/>
  <c r="F34" i="7" s="1"/>
  <c r="E27" i="7"/>
  <c r="E35" i="7" s="1"/>
  <c r="E7" i="7"/>
  <c r="E26" i="7" s="1"/>
  <c r="E34" i="7" s="1"/>
  <c r="G57" i="7"/>
  <c r="F57" i="7"/>
  <c r="E57" i="7"/>
  <c r="D56" i="7"/>
  <c r="D57" i="7" s="1"/>
  <c r="E6" i="7"/>
  <c r="E25" i="7" s="1"/>
  <c r="F6" i="7"/>
  <c r="F25" i="7" s="1"/>
  <c r="D6" i="7"/>
  <c r="G6" i="7"/>
  <c r="G25" i="7" s="1"/>
  <c r="D17" i="6"/>
  <c r="D18" i="6" s="1"/>
  <c r="D20" i="6" s="1"/>
  <c r="G33" i="7" l="1"/>
  <c r="D25" i="7"/>
  <c r="D33" i="7" s="1"/>
  <c r="F33" i="7"/>
  <c r="E33" i="7"/>
  <c r="D22" i="6"/>
  <c r="E22" i="6" l="1"/>
  <c r="D23" i="6"/>
  <c r="D42" i="5"/>
  <c r="D43" i="5"/>
  <c r="E40" i="5"/>
  <c r="F40" i="5" s="1"/>
  <c r="G40" i="5" s="1"/>
  <c r="E39" i="5"/>
  <c r="F39" i="5" s="1"/>
  <c r="G39" i="5" s="1"/>
  <c r="E17" i="5"/>
  <c r="F17" i="5" s="1"/>
  <c r="G17" i="5" s="1"/>
  <c r="E38" i="5"/>
  <c r="F38" i="5" s="1"/>
  <c r="G38" i="5" s="1"/>
  <c r="E27" i="5"/>
  <c r="E16" i="5"/>
  <c r="E33" i="5"/>
  <c r="F33" i="5" s="1"/>
  <c r="E18" i="5"/>
  <c r="F18" i="5" s="1"/>
  <c r="G18" i="5" s="1"/>
  <c r="D57" i="5"/>
  <c r="E56" i="2"/>
  <c r="E57" i="2" s="1"/>
  <c r="E67" i="2"/>
  <c r="E68" i="2" s="1"/>
  <c r="F7" i="2"/>
  <c r="F24" i="2"/>
  <c r="G24" i="2" s="1"/>
  <c r="H24" i="2" s="1"/>
  <c r="F23" i="2"/>
  <c r="G23" i="2" s="1"/>
  <c r="H23" i="2" s="1"/>
  <c r="F11" i="2"/>
  <c r="G11" i="2" s="1"/>
  <c r="H11" i="2" s="1"/>
  <c r="F22" i="2"/>
  <c r="G22" i="2" s="1"/>
  <c r="H22" i="2" s="1"/>
  <c r="F27" i="5" l="1"/>
  <c r="G27" i="5" s="1"/>
  <c r="E28" i="5"/>
  <c r="E29" i="5" s="1"/>
  <c r="E42" i="5"/>
  <c r="F42" i="5" s="1"/>
  <c r="E63" i="5"/>
  <c r="E64" i="5" s="1"/>
  <c r="E72" i="5"/>
  <c r="F63" i="5"/>
  <c r="F64" i="5" s="1"/>
  <c r="F72" i="5"/>
  <c r="G63" i="5"/>
  <c r="G64" i="5" s="1"/>
  <c r="G72" i="5"/>
  <c r="F94" i="6"/>
  <c r="F99" i="6" s="1"/>
  <c r="F92" i="6"/>
  <c r="F97" i="6" s="1"/>
  <c r="F93" i="6"/>
  <c r="F98" i="6" s="1"/>
  <c r="F95" i="6"/>
  <c r="F100" i="6" s="1"/>
  <c r="E93" i="6"/>
  <c r="E98" i="6" s="1"/>
  <c r="E94" i="6"/>
  <c r="E99" i="6" s="1"/>
  <c r="E95" i="6"/>
  <c r="E100" i="6" s="1"/>
  <c r="E92" i="6"/>
  <c r="E97" i="6" s="1"/>
  <c r="G93" i="6"/>
  <c r="G98" i="6" s="1"/>
  <c r="G94" i="6"/>
  <c r="G99" i="6" s="1"/>
  <c r="G95" i="6"/>
  <c r="G100" i="6" s="1"/>
  <c r="G92" i="6"/>
  <c r="G97" i="6" s="1"/>
  <c r="F67" i="6"/>
  <c r="F71" i="6" s="1"/>
  <c r="F65" i="6"/>
  <c r="F69" i="6" s="1"/>
  <c r="F66" i="6"/>
  <c r="F70" i="6" s="1"/>
  <c r="E66" i="6"/>
  <c r="E70" i="6" s="1"/>
  <c r="E67" i="6"/>
  <c r="E71" i="6" s="1"/>
  <c r="E65" i="6"/>
  <c r="E69" i="6" s="1"/>
  <c r="G67" i="6"/>
  <c r="G71" i="6" s="1"/>
  <c r="G65" i="6"/>
  <c r="G69" i="6" s="1"/>
  <c r="G66" i="6"/>
  <c r="G70" i="6" s="1"/>
  <c r="F51" i="6"/>
  <c r="F55" i="6" s="1"/>
  <c r="F52" i="6"/>
  <c r="F56" i="6" s="1"/>
  <c r="F53" i="6"/>
  <c r="F57" i="6" s="1"/>
  <c r="G52" i="6"/>
  <c r="G56" i="6" s="1"/>
  <c r="G51" i="6"/>
  <c r="G55" i="6" s="1"/>
  <c r="G53" i="6"/>
  <c r="G57" i="6" s="1"/>
  <c r="E53" i="6"/>
  <c r="E57" i="6" s="1"/>
  <c r="E51" i="6"/>
  <c r="E55" i="6" s="1"/>
  <c r="E52" i="6"/>
  <c r="E56" i="6" s="1"/>
  <c r="F22" i="6"/>
  <c r="E23" i="6"/>
  <c r="E24" i="6" s="1"/>
  <c r="F16" i="5"/>
  <c r="E22" i="5"/>
  <c r="F50" i="4"/>
  <c r="F70" i="4" s="1"/>
  <c r="F46" i="4"/>
  <c r="F66" i="4" s="1"/>
  <c r="F51" i="4"/>
  <c r="F71" i="4" s="1"/>
  <c r="F58" i="4"/>
  <c r="F78" i="4" s="1"/>
  <c r="F54" i="4"/>
  <c r="F74" i="4" s="1"/>
  <c r="F55" i="4"/>
  <c r="F75" i="4" s="1"/>
  <c r="F57" i="4"/>
  <c r="F77" i="4" s="1"/>
  <c r="F53" i="4"/>
  <c r="F73" i="4" s="1"/>
  <c r="F56" i="4"/>
  <c r="F76" i="4" s="1"/>
  <c r="F49" i="4"/>
  <c r="F69" i="4" s="1"/>
  <c r="F52" i="4"/>
  <c r="F72" i="4" s="1"/>
  <c r="F48" i="4"/>
  <c r="F68" i="4" s="1"/>
  <c r="F47" i="4"/>
  <c r="F67" i="4" s="1"/>
  <c r="D59" i="4"/>
  <c r="D79" i="4" s="1"/>
  <c r="E59" i="4"/>
  <c r="E79" i="4" s="1"/>
  <c r="G59" i="4"/>
  <c r="G79" i="4" s="1"/>
  <c r="F59" i="4"/>
  <c r="F79" i="4" s="1"/>
  <c r="E58" i="4"/>
  <c r="E78" i="4" s="1"/>
  <c r="E46" i="4"/>
  <c r="E66" i="4" s="1"/>
  <c r="E54" i="4"/>
  <c r="E74" i="4" s="1"/>
  <c r="E51" i="4"/>
  <c r="E71" i="4" s="1"/>
  <c r="E50" i="4"/>
  <c r="E70" i="4" s="1"/>
  <c r="E49" i="4"/>
  <c r="E69" i="4" s="1"/>
  <c r="E48" i="4"/>
  <c r="E68" i="4" s="1"/>
  <c r="E53" i="4"/>
  <c r="E73" i="4" s="1"/>
  <c r="E56" i="4"/>
  <c r="E76" i="4" s="1"/>
  <c r="E55" i="4"/>
  <c r="E75" i="4" s="1"/>
  <c r="E47" i="4"/>
  <c r="E67" i="4" s="1"/>
  <c r="E57" i="4"/>
  <c r="E77" i="4" s="1"/>
  <c r="E52" i="4"/>
  <c r="E72" i="4" s="1"/>
  <c r="G50" i="4"/>
  <c r="G70" i="4" s="1"/>
  <c r="G46" i="4"/>
  <c r="G66" i="4" s="1"/>
  <c r="G58" i="4"/>
  <c r="G78" i="4" s="1"/>
  <c r="G54" i="4"/>
  <c r="G74" i="4" s="1"/>
  <c r="G51" i="4"/>
  <c r="G71" i="4" s="1"/>
  <c r="G56" i="4"/>
  <c r="G76" i="4" s="1"/>
  <c r="G47" i="4"/>
  <c r="G67" i="4" s="1"/>
  <c r="G57" i="4"/>
  <c r="G77" i="4" s="1"/>
  <c r="G55" i="4"/>
  <c r="G75" i="4" s="1"/>
  <c r="G49" i="4"/>
  <c r="G69" i="4" s="1"/>
  <c r="G52" i="4"/>
  <c r="G72" i="4" s="1"/>
  <c r="G53" i="4"/>
  <c r="G73" i="4" s="1"/>
  <c r="G48" i="4"/>
  <c r="G68" i="4" s="1"/>
  <c r="G60" i="4"/>
  <c r="G80" i="4" s="1"/>
  <c r="F60" i="4"/>
  <c r="F80" i="4" s="1"/>
  <c r="E60" i="4"/>
  <c r="E80" i="4" s="1"/>
  <c r="D60" i="4"/>
  <c r="D80" i="4" s="1"/>
  <c r="E43" i="5"/>
  <c r="F43" i="5" s="1"/>
  <c r="D47" i="5"/>
  <c r="F42" i="6"/>
  <c r="F43" i="6" s="1"/>
  <c r="E42" i="6"/>
  <c r="E43" i="6" s="1"/>
  <c r="G42" i="6"/>
  <c r="G43" i="6" s="1"/>
  <c r="G63" i="4"/>
  <c r="G83" i="4" s="1"/>
  <c r="G64" i="4"/>
  <c r="G84" i="4" s="1"/>
  <c r="F63" i="4"/>
  <c r="F83" i="4" s="1"/>
  <c r="F64" i="4"/>
  <c r="F84" i="4" s="1"/>
  <c r="E63" i="4"/>
  <c r="E83" i="4" s="1"/>
  <c r="E64" i="4"/>
  <c r="E84" i="4" s="1"/>
  <c r="F56" i="5"/>
  <c r="F57" i="5" s="1"/>
  <c r="G56" i="5"/>
  <c r="G57" i="5" s="1"/>
  <c r="E56" i="5"/>
  <c r="E57" i="5" s="1"/>
  <c r="D7" i="5"/>
  <c r="E7" i="5" s="1"/>
  <c r="D45" i="5"/>
  <c r="E45" i="5"/>
  <c r="F34" i="5"/>
  <c r="F35" i="5" s="1"/>
  <c r="D34" i="5"/>
  <c r="D35" i="5" s="1"/>
  <c r="E34" i="5"/>
  <c r="E35" i="5" s="1"/>
  <c r="G33" i="5"/>
  <c r="D67" i="4"/>
  <c r="G7" i="2"/>
  <c r="F28" i="5" l="1"/>
  <c r="F29" i="5" s="1"/>
  <c r="G28" i="5"/>
  <c r="G29" i="5" s="1"/>
  <c r="E23" i="5"/>
  <c r="E24" i="5" s="1"/>
  <c r="G42" i="5"/>
  <c r="G45" i="5" s="1"/>
  <c r="F45" i="5"/>
  <c r="D49" i="5"/>
  <c r="D51" i="5" s="1"/>
  <c r="G22" i="6"/>
  <c r="G23" i="6" s="1"/>
  <c r="G24" i="6" s="1"/>
  <c r="F23" i="6"/>
  <c r="F24" i="6" s="1"/>
  <c r="G73" i="5"/>
  <c r="D73" i="5"/>
  <c r="E73" i="5"/>
  <c r="F73" i="5"/>
  <c r="G16" i="5"/>
  <c r="G22" i="5" s="1"/>
  <c r="F22" i="5"/>
  <c r="F7" i="5"/>
  <c r="G7" i="5" s="1"/>
  <c r="E14" i="5"/>
  <c r="D46" i="5"/>
  <c r="D48" i="5" s="1"/>
  <c r="D50" i="5" s="1"/>
  <c r="D24" i="6"/>
  <c r="E32" i="6" s="1"/>
  <c r="E46" i="5"/>
  <c r="G43" i="5"/>
  <c r="G34" i="5"/>
  <c r="G35" i="5" s="1"/>
  <c r="H7" i="2"/>
  <c r="G23" i="5" l="1"/>
  <c r="G24" i="5" s="1"/>
  <c r="F23" i="5"/>
  <c r="F24" i="5" s="1"/>
  <c r="F32" i="6"/>
  <c r="E33" i="6"/>
  <c r="F46" i="5"/>
  <c r="F48" i="5" s="1"/>
  <c r="F50" i="5" s="1"/>
  <c r="F14" i="5"/>
  <c r="G14" i="5" s="1"/>
  <c r="G47" i="5" s="1"/>
  <c r="G49" i="5" s="1"/>
  <c r="G51" i="5" s="1"/>
  <c r="G46" i="5"/>
  <c r="E47" i="5"/>
  <c r="E49" i="5" s="1"/>
  <c r="E51" i="5" s="1"/>
  <c r="E48" i="5"/>
  <c r="E50" i="5" s="1"/>
  <c r="D34" i="6"/>
  <c r="F47" i="5" l="1"/>
  <c r="F49" i="5" s="1"/>
  <c r="F51" i="5" s="1"/>
  <c r="G32" i="6"/>
  <c r="G33" i="6" s="1"/>
  <c r="F33" i="6"/>
  <c r="G48" i="5"/>
  <c r="G50" i="5" s="1"/>
  <c r="E34" i="6"/>
  <c r="F65" i="2"/>
  <c r="G65" i="2" s="1"/>
  <c r="H65" i="2" s="1"/>
  <c r="F34" i="6" l="1"/>
  <c r="G34" i="6"/>
  <c r="F64" i="2"/>
  <c r="F54" i="2"/>
  <c r="F56" i="2" s="1"/>
  <c r="G16" i="2" l="1"/>
  <c r="G39" i="2" s="1"/>
  <c r="O84" i="2"/>
  <c r="O79" i="2" s="1"/>
  <c r="F16" i="2"/>
  <c r="F39" i="2" s="1"/>
  <c r="N84" i="2"/>
  <c r="N79" i="2" s="1"/>
  <c r="H16" i="2"/>
  <c r="H39" i="2" s="1"/>
  <c r="P84" i="2"/>
  <c r="P79" i="2" s="1"/>
  <c r="F85" i="2"/>
  <c r="F14" i="2"/>
  <c r="F48" i="2" s="1"/>
  <c r="F18" i="2"/>
  <c r="G14" i="2"/>
  <c r="G48" i="2" s="1"/>
  <c r="G18" i="2"/>
  <c r="H14" i="2"/>
  <c r="H48" i="2" s="1"/>
  <c r="H18" i="2"/>
  <c r="G54" i="2"/>
  <c r="G56" i="2" s="1"/>
  <c r="G64" i="2"/>
  <c r="H54" i="2" l="1"/>
  <c r="H56" i="2" s="1"/>
  <c r="H64" i="2"/>
  <c r="H84" i="2" l="1"/>
  <c r="G84" i="2"/>
  <c r="F84" i="2"/>
  <c r="F19" i="2"/>
  <c r="F10" i="2"/>
  <c r="F6" i="2"/>
  <c r="F28" i="2" s="1"/>
  <c r="F57" i="2" l="1"/>
  <c r="F58" i="2" s="1"/>
  <c r="F36" i="2"/>
  <c r="F67" i="2"/>
  <c r="F68" i="2" s="1"/>
  <c r="F69" i="2" s="1"/>
  <c r="F32" i="2"/>
  <c r="F34" i="2" s="1"/>
  <c r="F29" i="2"/>
  <c r="F31" i="2" s="1"/>
  <c r="F33" i="2" s="1"/>
  <c r="E32" i="2"/>
  <c r="E34" i="2" s="1"/>
  <c r="E50" i="2"/>
  <c r="E51" i="2" s="1"/>
  <c r="F49" i="2"/>
  <c r="F50" i="2" s="1"/>
  <c r="F51" i="2" s="1"/>
  <c r="E69" i="2"/>
  <c r="E58" i="2"/>
  <c r="E59" i="2" s="1"/>
  <c r="G10" i="2"/>
  <c r="G36" i="2" s="1"/>
  <c r="G19" i="2"/>
  <c r="G6" i="2"/>
  <c r="G57" i="2" l="1"/>
  <c r="G58" i="2" s="1"/>
  <c r="F38" i="2"/>
  <c r="F41" i="2" s="1"/>
  <c r="G38" i="2"/>
  <c r="G67" i="2"/>
  <c r="G68" i="2" s="1"/>
  <c r="G69" i="2" s="1"/>
  <c r="F42" i="2"/>
  <c r="F44" i="2" s="1"/>
  <c r="G28" i="2"/>
  <c r="G32" i="2" s="1"/>
  <c r="G34" i="2" s="1"/>
  <c r="G29" i="2"/>
  <c r="E33" i="2"/>
  <c r="G49" i="2"/>
  <c r="G50" i="2" s="1"/>
  <c r="G51" i="2" s="1"/>
  <c r="F59" i="2"/>
  <c r="H10" i="2"/>
  <c r="H36" i="2" s="1"/>
  <c r="H19" i="2"/>
  <c r="H6" i="2"/>
  <c r="E61" i="2"/>
  <c r="E60" i="2"/>
  <c r="H38" i="2" l="1"/>
  <c r="F43" i="2"/>
  <c r="H67" i="2"/>
  <c r="H68" i="2" s="1"/>
  <c r="H69" i="2" s="1"/>
  <c r="G42" i="2"/>
  <c r="G44" i="2" s="1"/>
  <c r="G41" i="2"/>
  <c r="G43" i="2" s="1"/>
  <c r="E86" i="2"/>
  <c r="E87" i="2" s="1"/>
  <c r="H28" i="2"/>
  <c r="H32" i="2" s="1"/>
  <c r="H34" i="2" s="1"/>
  <c r="H29" i="2"/>
  <c r="H57" i="2"/>
  <c r="H49" i="2"/>
  <c r="H50" i="2" s="1"/>
  <c r="H51" i="2" s="1"/>
  <c r="F61" i="2"/>
  <c r="F60" i="2"/>
  <c r="G59" i="2"/>
  <c r="G31" i="2"/>
  <c r="G33" i="2" s="1"/>
  <c r="H42" i="2" l="1"/>
  <c r="H44" i="2" s="1"/>
  <c r="H41" i="2"/>
  <c r="H43" i="2" s="1"/>
  <c r="H58" i="2"/>
  <c r="H59" i="2" s="1"/>
  <c r="F86" i="2"/>
  <c r="F87" i="2" s="1"/>
  <c r="H31" i="2"/>
  <c r="H33" i="2" s="1"/>
  <c r="G60" i="2"/>
  <c r="G61" i="2"/>
  <c r="G86" i="2" l="1"/>
  <c r="G87" i="2" s="1"/>
  <c r="H61" i="2"/>
  <c r="H60" i="2"/>
  <c r="H86" i="2" l="1"/>
  <c r="H87" i="2" s="1"/>
  <c r="H70" i="2"/>
  <c r="H71" i="2" s="1"/>
  <c r="H72" i="2" s="1"/>
  <c r="G70" i="2"/>
  <c r="G71" i="2" s="1"/>
  <c r="G72" i="2" s="1"/>
  <c r="F70" i="2"/>
  <c r="F71" i="2" s="1"/>
  <c r="F72" i="2" s="1"/>
  <c r="E70" i="2"/>
  <c r="E71" i="2" s="1"/>
  <c r="E7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CDOT</author>
  </authors>
  <commentList>
    <comment ref="C24" authorId="0" shapeId="0" xr:uid="{D12353F6-6A4F-4E22-A925-7BEAFD110E3C}">
      <text>
        <r>
          <rPr>
            <b/>
            <sz val="9"/>
            <color indexed="81"/>
            <rFont val="Tahoma"/>
            <family val="2"/>
          </rPr>
          <t>CDOT:</t>
        </r>
        <r>
          <rPr>
            <sz val="9"/>
            <color indexed="81"/>
            <rFont val="Tahoma"/>
            <family val="2"/>
          </rPr>
          <t xml:space="preserve">
&gt;10,000 ppsm</t>
        </r>
      </text>
    </comment>
    <comment ref="C25" authorId="0" shapeId="0" xr:uid="{E1B7B01A-0AF2-4EE7-987D-CCC04773C8DD}">
      <text>
        <r>
          <rPr>
            <b/>
            <sz val="9"/>
            <color indexed="81"/>
            <rFont val="Tahoma"/>
            <family val="2"/>
          </rPr>
          <t>CDOT:</t>
        </r>
        <r>
          <rPr>
            <sz val="9"/>
            <color indexed="81"/>
            <rFont val="Tahoma"/>
            <family val="2"/>
          </rPr>
          <t xml:space="preserve">
4,000 - 10,000 ppsm</t>
        </r>
      </text>
    </comment>
    <comment ref="C26" authorId="0" shapeId="0" xr:uid="{C0EDACD1-5055-437B-A470-88C905C23578}">
      <text>
        <r>
          <rPr>
            <b/>
            <sz val="9"/>
            <color indexed="81"/>
            <rFont val="Tahoma"/>
            <family val="2"/>
          </rPr>
          <t>CDOT:</t>
        </r>
        <r>
          <rPr>
            <sz val="9"/>
            <color indexed="81"/>
            <rFont val="Tahoma"/>
            <family val="2"/>
          </rPr>
          <t xml:space="preserve">
500 - 4,000 ppsm</t>
        </r>
      </text>
    </comment>
    <comment ref="C27" authorId="0" shapeId="0" xr:uid="{57A95274-470A-4D7B-8517-4B03CC8A79F2}">
      <text>
        <r>
          <rPr>
            <b/>
            <sz val="9"/>
            <color indexed="81"/>
            <rFont val="Tahoma"/>
            <family val="2"/>
          </rPr>
          <t>CDOT:</t>
        </r>
        <r>
          <rPr>
            <sz val="9"/>
            <color indexed="81"/>
            <rFont val="Tahoma"/>
            <family val="2"/>
          </rPr>
          <t xml:space="preserve">
&lt;500 ppsm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Porter</author>
  </authors>
  <commentList>
    <comment ref="I10" authorId="0" shapeId="0" xr:uid="{6687F995-4004-4F36-843F-0D095981034F}">
      <text>
        <r>
          <rPr>
            <b/>
            <sz val="9"/>
            <color indexed="81"/>
            <rFont val="Tahoma"/>
            <family val="2"/>
          </rPr>
          <t>Chris Porter:</t>
        </r>
        <r>
          <rPr>
            <sz val="9"/>
            <color indexed="81"/>
            <rFont val="Tahoma"/>
            <family val="2"/>
          </rPr>
          <t xml:space="preserve">
8.2 CO average</t>
        </r>
      </text>
    </comment>
    <comment ref="I19" authorId="0" shapeId="0" xr:uid="{08DD58A4-7607-4933-BA20-4E65D93237F3}">
      <text>
        <r>
          <rPr>
            <b/>
            <sz val="9"/>
            <color indexed="81"/>
            <rFont val="Tahoma"/>
            <family val="2"/>
          </rPr>
          <t>Chris Porter:</t>
        </r>
        <r>
          <rPr>
            <sz val="9"/>
            <color indexed="81"/>
            <rFont val="Tahoma"/>
            <family val="2"/>
          </rPr>
          <t xml:space="preserve">
40% from GHG Rule CBA
60% in CS (2021)</t>
        </r>
      </text>
    </comment>
    <comment ref="I53" authorId="0" shapeId="0" xr:uid="{FEB9104B-6B0F-4A9B-BD7D-F50F6AE6736E}">
      <text>
        <r>
          <rPr>
            <b/>
            <sz val="9"/>
            <color indexed="81"/>
            <rFont val="Tahoma"/>
            <family val="2"/>
          </rPr>
          <t>Chris Porter:</t>
        </r>
        <r>
          <rPr>
            <sz val="9"/>
            <color indexed="81"/>
            <rFont val="Tahoma"/>
            <family val="2"/>
          </rPr>
          <t xml:space="preserve">
change to unlinked trip, and change trip length?</t>
        </r>
      </text>
    </comment>
    <comment ref="I63" authorId="0" shapeId="0" xr:uid="{239FA2E9-4EBF-4945-BFEB-7B2000B8DE89}">
      <text>
        <r>
          <rPr>
            <b/>
            <sz val="9"/>
            <color indexed="81"/>
            <rFont val="Tahoma"/>
            <family val="2"/>
          </rPr>
          <t>Chris Porter:</t>
        </r>
        <r>
          <rPr>
            <sz val="9"/>
            <color indexed="81"/>
            <rFont val="Tahoma"/>
            <family val="2"/>
          </rPr>
          <t xml:space="preserve">
Sum of number of runs using affected route length * route length</t>
        </r>
      </text>
    </comment>
    <comment ref="I78" authorId="0" shapeId="0" xr:uid="{F83EBA18-BBA0-47FB-B9A3-E3782F3D8C5D}">
      <text>
        <r>
          <rPr>
            <b/>
            <sz val="9"/>
            <color indexed="81"/>
            <rFont val="Tahoma"/>
            <family val="2"/>
          </rPr>
          <t>Chris Porter:</t>
        </r>
        <r>
          <rPr>
            <sz val="9"/>
            <color indexed="81"/>
            <rFont val="Tahoma"/>
            <family val="2"/>
          </rPr>
          <t xml:space="preserve">
4.52 mi is national average unlinked trip length per FHWA CMAQ Calculator Toolkit.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CDOT</author>
    <author>Chris Porter</author>
  </authors>
  <commentList>
    <comment ref="D20" authorId="0" shapeId="0" xr:uid="{73940D95-DD08-4C32-B1FE-06F465CBFA8F}">
      <text>
        <r>
          <rPr>
            <b/>
            <sz val="9"/>
            <color indexed="81"/>
            <rFont val="Tahoma"/>
            <family val="2"/>
          </rPr>
          <t>CDOT:</t>
        </r>
        <r>
          <rPr>
            <sz val="9"/>
            <color indexed="81"/>
            <rFont val="Tahoma"/>
            <family val="2"/>
          </rPr>
          <t xml:space="preserve">
CAPCOA 2021 cites an elasticity of parking demand w/r/t price of -0.4. With a base price of $5 and an increase of $1 that gives roughly the same results as the method here (20% * -0.4 = -8%)</t>
        </r>
      </text>
    </comment>
    <comment ref="H26" authorId="1" shapeId="0" xr:uid="{E76BD446-5DC2-44B9-A0A2-CE45ECC5137A}">
      <text>
        <r>
          <rPr>
            <b/>
            <sz val="9"/>
            <color indexed="81"/>
            <rFont val="Tahoma"/>
            <family val="2"/>
          </rPr>
          <t>Chris Porter:</t>
        </r>
        <r>
          <rPr>
            <sz val="9"/>
            <color indexed="81"/>
            <rFont val="Tahoma"/>
            <family val="2"/>
          </rPr>
          <t xml:space="preserve">
Method based on CAPCOA (2021)</t>
        </r>
      </text>
    </comment>
    <comment ref="C45" authorId="0" shapeId="0" xr:uid="{709A7D43-33A9-454F-B1C3-4D21776C1EB2}">
      <text>
        <r>
          <rPr>
            <b/>
            <sz val="9"/>
            <color indexed="81"/>
            <rFont val="Tahoma"/>
            <family val="2"/>
          </rPr>
          <t>CDOT:</t>
        </r>
        <r>
          <rPr>
            <sz val="9"/>
            <color indexed="81"/>
            <rFont val="Tahoma"/>
            <family val="2"/>
          </rPr>
          <t xml:space="preserve">
Maximums: no more than
0.75 (1 bed/studio/efficiency)
1.0 (2 bed)
1.25 (3+ bed)</t>
        </r>
      </text>
    </comment>
    <comment ref="H45" authorId="0" shapeId="0" xr:uid="{8D0E24CC-F86E-40F4-9A95-2CD8A3E91E49}">
      <text>
        <r>
          <rPr>
            <b/>
            <sz val="9"/>
            <color indexed="81"/>
            <rFont val="Tahoma"/>
            <family val="2"/>
          </rPr>
          <t>CDOT:</t>
        </r>
        <r>
          <rPr>
            <sz val="9"/>
            <color indexed="81"/>
            <rFont val="Tahoma"/>
            <family val="2"/>
          </rPr>
          <t xml:space="preserve">
Method based on CAPCOA (2021)</t>
        </r>
      </text>
    </comment>
    <comment ref="C47" authorId="0" shapeId="0" xr:uid="{C567503F-DAA0-4E05-B41F-CB4DD092A6E0}">
      <text>
        <r>
          <rPr>
            <b/>
            <sz val="9"/>
            <color indexed="81"/>
            <rFont val="Tahoma"/>
            <family val="2"/>
          </rPr>
          <t>CDOT:</t>
        </r>
        <r>
          <rPr>
            <sz val="9"/>
            <color indexed="81"/>
            <rFont val="Tahoma"/>
            <family val="2"/>
          </rPr>
          <t xml:space="preserve">
See definitions for bike/ped based on population density</t>
        </r>
      </text>
    </comment>
    <comment ref="C59" authorId="0" shapeId="0" xr:uid="{92C6534D-6059-4242-8D60-A2143E22C307}">
      <text>
        <r>
          <rPr>
            <b/>
            <sz val="9"/>
            <color indexed="81"/>
            <rFont val="Tahoma"/>
            <family val="2"/>
          </rPr>
          <t>CDOT:</t>
        </r>
        <r>
          <rPr>
            <sz val="9"/>
            <color indexed="81"/>
            <rFont val="Tahoma"/>
            <family val="2"/>
          </rPr>
          <t xml:space="preserve">
Maximums: no more than
1.0 (1 bed/studio/efficiency)
1.5 (2 bed)
1.75 (3+ bed)</t>
        </r>
      </text>
    </comment>
    <comment ref="H59" authorId="0" shapeId="0" xr:uid="{7C0020AC-DBE8-4477-AA21-9AEE3B690C02}">
      <text>
        <r>
          <rPr>
            <b/>
            <sz val="9"/>
            <color indexed="81"/>
            <rFont val="Tahoma"/>
            <family val="2"/>
          </rPr>
          <t>CDOT:</t>
        </r>
        <r>
          <rPr>
            <sz val="9"/>
            <color indexed="81"/>
            <rFont val="Tahoma"/>
            <family val="2"/>
          </rPr>
          <t xml:space="preserve">
Method based on CAPCOA (2021)</t>
        </r>
      </text>
    </comment>
    <comment ref="H73" authorId="0" shapeId="0" xr:uid="{5D114BBE-8D2C-4C2B-9988-DE3C4D98B681}">
      <text>
        <r>
          <rPr>
            <b/>
            <sz val="9"/>
            <color indexed="81"/>
            <rFont val="Tahoma"/>
            <family val="2"/>
          </rPr>
          <t>CDOT:</t>
        </r>
        <r>
          <rPr>
            <sz val="9"/>
            <color indexed="81"/>
            <rFont val="Tahoma"/>
            <family val="2"/>
          </rPr>
          <t xml:space="preserve">
10,000 sq. ft. gross floor area of capacity = zoned maximum FAR * acres * 43.6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CDOT</author>
  </authors>
  <commentList>
    <comment ref="H18" authorId="0" shapeId="0" xr:uid="{61D940F9-38A3-4471-868E-FA9BDB2386DA}">
      <text>
        <r>
          <rPr>
            <b/>
            <sz val="9"/>
            <color indexed="81"/>
            <rFont val="Tahoma"/>
            <family val="2"/>
          </rPr>
          <t>CDOT:</t>
        </r>
        <r>
          <rPr>
            <sz val="9"/>
            <color indexed="81"/>
            <rFont val="Tahoma"/>
            <family val="2"/>
          </rPr>
          <t xml:space="preserve">
"smart growth" criteria:
Part of a contiguous area of at least 50 acres meeting requirements for street connectivity (at least 100 street or path intersections per square mile, corresponding to maximum 500' block sizes) and mixed use (at least 10% of land can accommodate non-residential uses)
50 acre minimum and gross density 15 units/acre are consistent with Massachusetts Zoning Act Section 3A, see 
https://www.mass.gov/info-details/draft-compliance-guidelines-for-multi-family-districts-under-section-3a-of-the-zoning-act
15 units/acre is threshold for FTA "medium" rating for transit-supportive land use
The credits may be applied to rezonings starting at a higher base level if the density is at least doubled, e.g., 12 units/acre to 24+ units/acre. For density increases that are less than doubling, points may be scaled. E.g., 15 to 25 units/acre rezoning would receive 2/3 of the point value.</t>
        </r>
      </text>
    </comment>
    <comment ref="H24" authorId="0" shapeId="0" xr:uid="{0A5634FD-B384-40BE-8CCC-E41F2180C39F}">
      <text>
        <r>
          <rPr>
            <b/>
            <sz val="9"/>
            <color indexed="81"/>
            <rFont val="Tahoma"/>
            <family val="2"/>
          </rPr>
          <t>CDOT:</t>
        </r>
        <r>
          <rPr>
            <sz val="9"/>
            <color indexed="81"/>
            <rFont val="Tahoma"/>
            <family val="2"/>
          </rPr>
          <t xml:space="preserve">
"smart growth" criteria:
Part of a contiguous area of at least 50 acres meeting requirements for street connectivity (at least 100 street or path intersections per square mile, corresponding to maximum 500' block sizes) and mixed use (at least 20% of land can accommodate residential uses)
1.0 FAR is threshold for FTA "medium" rating for transit-supportive land use</t>
        </r>
      </text>
    </comment>
    <comment ref="H34" authorId="0" shapeId="0" xr:uid="{6B6DA938-6DEC-46E5-BF5D-18F43FCF9FE6}">
      <text>
        <r>
          <rPr>
            <b/>
            <sz val="9"/>
            <color indexed="81"/>
            <rFont val="Tahoma"/>
            <family val="2"/>
          </rPr>
          <t>CDOT:</t>
        </r>
        <r>
          <rPr>
            <sz val="9"/>
            <color indexed="81"/>
            <rFont val="Tahoma"/>
            <family val="2"/>
          </rPr>
          <t xml:space="preserve">
"smart growth" criteria:
Part of a contiguous area of at least 50 acres meeting requirements for street connectivity (at least 100 street or path intersections per square mile, corresponding to maximum 500' block sizes) and mixed use (at least 10% of land can accommodate non-residential uses)
50 acre minimum and gross density 15 units/acre are consistent with Massachusetts Zoning Act Section 3A, see 
https://www.mass.gov/info-details/draft-compliance-guidelines-for-multi-family-districts-under-section-3a-of-the-zoning-act
25 units/acre is threshold for FTA "high" rating for transit-supportive land use
Fixed-guideway transit may include rail or BRT</t>
        </r>
      </text>
    </comment>
    <comment ref="H39" authorId="0" shapeId="0" xr:uid="{DFD120C0-C4D4-4FE2-B3B2-6B724657BA1E}">
      <text>
        <r>
          <rPr>
            <b/>
            <sz val="9"/>
            <color indexed="81"/>
            <rFont val="Tahoma"/>
            <family val="2"/>
          </rPr>
          <t>CDOT:</t>
        </r>
        <r>
          <rPr>
            <sz val="9"/>
            <color indexed="81"/>
            <rFont val="Tahoma"/>
            <family val="2"/>
          </rPr>
          <t xml:space="preserve">
"smart growth" criteria:
Part of a contiguous area of at least 50 acres meeting requirements for street connectivity (at least 100 street or path intersections per square mile, corresponding to maximum 500' block sizes) and mixed use (at least 10% of land can accommodate non-residential uses)
50 acre minimum and gross density 15 units/acre are consistent with Massachusetts Zoning Act Section 3A, see 
https://www.mass.gov/info-details/draft-compliance-guidelines-for-multi-family-districts-under-section-3a-of-the-zoning-act
15 units/acre is threshold for FTA "medium" rating for transit-supportive land use
high-frequency bus transit is peak period headways of 15 minutes or less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Chris Porter</author>
    <author>CDOT</author>
  </authors>
  <commentList>
    <comment ref="C21" authorId="0" shapeId="0" xr:uid="{1255161F-3382-4F0F-ABEA-30AA77B87E45}">
      <text>
        <r>
          <rPr>
            <b/>
            <sz val="9"/>
            <color indexed="81"/>
            <rFont val="Tahoma"/>
            <family val="2"/>
          </rPr>
          <t>Chris Porter:</t>
        </r>
        <r>
          <rPr>
            <sz val="9"/>
            <color indexed="81"/>
            <rFont val="Tahoma"/>
            <family val="2"/>
          </rPr>
          <t xml:space="preserve">
Covered employees = employees (FTE) eligible for TDM at worksites served by TDM program</t>
        </r>
      </text>
    </comment>
    <comment ref="H38" authorId="1" shapeId="0" xr:uid="{7C7745DD-9230-4E3E-9E59-825A145A3646}">
      <text>
        <r>
          <rPr>
            <b/>
            <sz val="9"/>
            <color indexed="81"/>
            <rFont val="Tahoma"/>
            <family val="2"/>
          </rPr>
          <t>CDOT:</t>
        </r>
        <r>
          <rPr>
            <sz val="9"/>
            <color indexed="81"/>
            <rFont val="Tahoma"/>
            <family val="2"/>
          </rPr>
          <t xml:space="preserve">
3.5 - 2019 NTD, all CO vanpools
5.8 - 2019 TDM Plan, total participants / total vans</t>
        </r>
      </text>
    </comment>
    <comment ref="H61" authorId="0" shapeId="0" xr:uid="{5BDA49BF-13A9-470A-8DD9-D0079024152A}">
      <text>
        <r>
          <rPr>
            <b/>
            <sz val="9"/>
            <color indexed="81"/>
            <rFont val="Tahoma"/>
            <family val="2"/>
          </rPr>
          <t>CDOT:</t>
        </r>
        <r>
          <rPr>
            <sz val="9"/>
            <color indexed="81"/>
            <rFont val="Tahoma"/>
            <family val="2"/>
          </rPr>
          <t xml:space="preserve">
Based on data source and analysis frame, rebound effect can range from 30% to over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Chris Porter</author>
  </authors>
  <commentList>
    <comment ref="K30" authorId="0" shapeId="0" xr:uid="{32BE5E62-098C-48C2-A9C7-B4D305555B60}">
      <text>
        <r>
          <rPr>
            <b/>
            <sz val="9"/>
            <color indexed="81"/>
            <rFont val="Tahoma"/>
            <family val="2"/>
          </rPr>
          <t>CDOT:</t>
        </r>
        <r>
          <rPr>
            <sz val="9"/>
            <color indexed="81"/>
            <rFont val="Tahoma"/>
            <family val="2"/>
          </rPr>
          <t xml:space="preserve">
Both double-lane roundabouts.
Int 1 replaced 4-leg stop, Int 2 replaced signal. 35-50 mph speed llimits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Chris Porter</author>
  </authors>
  <commentList>
    <comment ref="D13" authorId="0" shapeId="0" xr:uid="{526FBBB6-00CA-430D-8EAA-A37830C61628}">
      <text>
        <r>
          <rPr>
            <b/>
            <sz val="9"/>
            <color indexed="81"/>
            <rFont val="Tahoma"/>
            <family val="2"/>
          </rPr>
          <t>Chris Porter:</t>
        </r>
        <r>
          <rPr>
            <sz val="9"/>
            <color indexed="81"/>
            <rFont val="Tahoma"/>
            <family val="2"/>
          </rPr>
          <t xml:space="preserve">
Not publicly posted, but shareable upon request.</t>
        </r>
      </text>
    </comment>
  </commentList>
</comments>
</file>

<file path=xl/sharedStrings.xml><?xml version="1.0" encoding="utf-8"?>
<sst xmlns="http://schemas.openxmlformats.org/spreadsheetml/2006/main" count="955" uniqueCount="676">
  <si>
    <t>PEDESTRIAN AND BICYCLE STRATEGIES</t>
  </si>
  <si>
    <t>Value</t>
  </si>
  <si>
    <t>Ref</t>
  </si>
  <si>
    <t>Parameter</t>
  </si>
  <si>
    <t>Source/Calculation</t>
  </si>
  <si>
    <t>Metric &amp; Notes</t>
  </si>
  <si>
    <t>Parameters Common Across Strategies</t>
  </si>
  <si>
    <t>A</t>
  </si>
  <si>
    <t>grams CO2 per vehicle-mile (auto)</t>
  </si>
  <si>
    <t>CDOT (2021) - high EV scenario</t>
  </si>
  <si>
    <t>Prior drive mode share of new bikers/walkers</t>
  </si>
  <si>
    <t>B1</t>
  </si>
  <si>
    <t>Owned bikes</t>
  </si>
  <si>
    <t>Transportation Investment Strategy Tool, Table A.4</t>
  </si>
  <si>
    <t>B2</t>
  </si>
  <si>
    <t>Shared bikes and scooters</t>
  </si>
  <si>
    <t>Buehler et al (2019), Mobility Lab (2019), NABSA (2020), Ramboll (2020),  MacArthur et al (2018)</t>
  </si>
  <si>
    <t>Average trip length (mi)</t>
  </si>
  <si>
    <t>C1</t>
  </si>
  <si>
    <t>Bike</t>
  </si>
  <si>
    <t>2009 National Household Travel Survey</t>
  </si>
  <si>
    <t>C2</t>
  </si>
  <si>
    <t>Walk</t>
  </si>
  <si>
    <t>C3</t>
  </si>
  <si>
    <t>Shared bike</t>
  </si>
  <si>
    <t>PBOT (2020) and NABSA (2020)</t>
  </si>
  <si>
    <t>C4</t>
  </si>
  <si>
    <t>Scooter</t>
  </si>
  <si>
    <t>D</t>
  </si>
  <si>
    <t>Annualization factor</t>
  </si>
  <si>
    <t>Per New Facility-Mile:</t>
  </si>
  <si>
    <t>Displaced Auto Miles/yr</t>
  </si>
  <si>
    <t>Bike lane/facility - urban</t>
  </si>
  <si>
    <t>New users: Transportation Investment Strategy Tool documentation, Table A.4</t>
  </si>
  <si>
    <t>Bike lane/facility – suburban</t>
  </si>
  <si>
    <t>Displaced auto miles: New users * C1 * B1 * D</t>
  </si>
  <si>
    <t>Bike lane/facility – rural</t>
  </si>
  <si>
    <t>Sidewalk/ pedestrian facility - urban</t>
  </si>
  <si>
    <t>New users: Transportation Investment Strategy Tool documentation, Table 4.11</t>
  </si>
  <si>
    <t>Sidewalk/ pedestrian facility - suburban</t>
  </si>
  <si>
    <t>Sidewalk/ pedestrian facility – rural</t>
  </si>
  <si>
    <t>Shared-use path - urban</t>
  </si>
  <si>
    <t>Shared-use path – suburban</t>
  </si>
  <si>
    <t>Shared-use path – rural</t>
  </si>
  <si>
    <t>“Complete Streets” reconstruction - urban</t>
  </si>
  <si>
    <t>= Sum of value for bike lane + pedestrian improvements</t>
  </si>
  <si>
    <t>“Complete Streets” reconstruction – suburban</t>
  </si>
  <si>
    <t>Per New Shared Vehicle:</t>
  </si>
  <si>
    <t>Trips per Day</t>
  </si>
  <si>
    <t>Annual Person-Miles</t>
  </si>
  <si>
    <t>Displaced Auto Miles</t>
  </si>
  <si>
    <t>Trips per day: PBOT (2020) and NABSA (2020)</t>
  </si>
  <si>
    <t>Annual person-miles: Trips per day * [C3 or C4]* 365</t>
  </si>
  <si>
    <t>Displaced auto miles: Annual person-miles * B2</t>
  </si>
  <si>
    <t>Change in tons CO2 per new facility-mile (annual):</t>
  </si>
  <si>
    <t>= Displaced auto miles * A / 1000000</t>
  </si>
  <si>
    <t>Change in tons CO2 per 100 new shared vehicles (annual):</t>
  </si>
  <si>
    <t>Points per new facility-mile:</t>
  </si>
  <si>
    <t>Providing a minimum of 1 point, even if CO2 estimate rounds to 0 tons</t>
  </si>
  <si>
    <t>Points per 100 new shared vehicles:</t>
  </si>
  <si>
    <t>TRANSIT STRATEGIES</t>
  </si>
  <si>
    <t>Metric; Source/Calculation</t>
  </si>
  <si>
    <t>Vehicle revenue-miles per revenue-hour</t>
  </si>
  <si>
    <t>A1</t>
  </si>
  <si>
    <t>Fixed-route bus</t>
  </si>
  <si>
    <t>NTD (2019), Colorado agencies</t>
  </si>
  <si>
    <t>A2</t>
  </si>
  <si>
    <t>Demand-response bus</t>
  </si>
  <si>
    <t>Passenger-miles per vehicle-mile</t>
  </si>
  <si>
    <t>NTD (2019), Colorado agencies - Rapid  Bus (RB) service</t>
  </si>
  <si>
    <t>grams CO2 per vehicle-mile</t>
  </si>
  <si>
    <t>CDOT (2021) - high bus electrification (100% electric by 2033)</t>
  </si>
  <si>
    <t xml:space="preserve">2019 based on medium truck MPG from AEO, future years adjusted proportional to fixed-route bus </t>
  </si>
  <si>
    <t>Auto</t>
  </si>
  <si>
    <t>grams CO2 per vehicle-hour</t>
  </si>
  <si>
    <t>CS (2021), scaled by g/mi from CBA analysis for future years</t>
  </si>
  <si>
    <t>Prior drive mode share of new riders</t>
  </si>
  <si>
    <t>CS (2021)</t>
  </si>
  <si>
    <t>F1</t>
  </si>
  <si>
    <t>F2</t>
  </si>
  <si>
    <t>Assumed same as fixed-route</t>
  </si>
  <si>
    <t>G</t>
  </si>
  <si>
    <t>1,000 new vehicle revenue-hours</t>
  </si>
  <si>
    <t>Tons CO2 per new VRH</t>
  </si>
  <si>
    <t>Displaced auto</t>
  </si>
  <si>
    <t>= A1 * B1 * C3 * D / 1000</t>
  </si>
  <si>
    <t>New bus (fleet average)</t>
  </si>
  <si>
    <t>New bus (electric)</t>
  </si>
  <si>
    <t>Net (fleet average bus)</t>
  </si>
  <si>
    <t>= new bus + displaced auto</t>
  </si>
  <si>
    <t>Net (electric bus)</t>
  </si>
  <si>
    <t>New/increased demand-response bus service - urban/suburban</t>
  </si>
  <si>
    <t>Calculation from above data:</t>
  </si>
  <si>
    <t>New bus</t>
  </si>
  <si>
    <t>= C2 * A2 / 1000</t>
  </si>
  <si>
    <t>Net</t>
  </si>
  <si>
    <t>Points per new VRH</t>
  </si>
  <si>
    <t>Reduce transit fares</t>
  </si>
  <si>
    <t>1 million base annual trips</t>
  </si>
  <si>
    <t>Fare elasticity</t>
  </si>
  <si>
    <t>TCRP Report 95, Chapter 12; CAPCOA (2021)</t>
  </si>
  <si>
    <t>Effects per million annual trip base @ 100% fare reduction (annual)</t>
  </si>
  <si>
    <t>New trips</t>
  </si>
  <si>
    <t>= 1000 * -(fare elasticity)</t>
  </si>
  <si>
    <t>Change in auto VMT</t>
  </si>
  <si>
    <t>= new riders * F1 * D</t>
  </si>
  <si>
    <t>Change in tons CO2</t>
  </si>
  <si>
    <t>= change in auto VMT * C3 / 1000000</t>
  </si>
  <si>
    <t>Points per million trips - free fares</t>
  </si>
  <si>
    <t>Points per million trips - 50% fare reduction</t>
  </si>
  <si>
    <t>Points per million trips - 25% fare reduction</t>
  </si>
  <si>
    <t>Implement bus priority treatments</t>
  </si>
  <si>
    <t>Affected 1,000 VRM per weekday</t>
  </si>
  <si>
    <t>Bus travel time elasticity</t>
  </si>
  <si>
    <t>TCRP Report 95, Chapter 12</t>
  </si>
  <si>
    <t>Typical travel time change (%)</t>
  </si>
  <si>
    <t>CAPCOA (2021)</t>
  </si>
  <si>
    <t>Effects per 1,000 affected VRM (annual)</t>
  </si>
  <si>
    <t>New bus passenger-miles</t>
  </si>
  <si>
    <t>= B1 * elasticity * travel time change * G * 1000</t>
  </si>
  <si>
    <t xml:space="preserve">= new passenger-mi * D </t>
  </si>
  <si>
    <t>Change in auto emissions (t CO2)</t>
  </si>
  <si>
    <t>Change in bus idle emissions (t CO2)</t>
  </si>
  <si>
    <t>Points per 1,000 affected weekday VRM</t>
  </si>
  <si>
    <t>PARKING STRATEGIES</t>
  </si>
  <si>
    <t>CDOT (2021)</t>
  </si>
  <si>
    <t>Excluding electricity sector emissions</t>
  </si>
  <si>
    <t>Transit bus - diesel</t>
  </si>
  <si>
    <t>Transit bus - hybrid-electric</t>
  </si>
  <si>
    <t xml:space="preserve">20% efficiency improvement </t>
  </si>
  <si>
    <t>Transit bus - electric</t>
  </si>
  <si>
    <t>School bus - diesel</t>
  </si>
  <si>
    <t>AFDC school bus mpg for 2017, future year adjustments for Federal MHDV rule, 10.15 kg CO2/gal</t>
  </si>
  <si>
    <t>School bus - electric</t>
  </si>
  <si>
    <t>Medium truck - diesel</t>
  </si>
  <si>
    <t>AEO medium truck mpg for base year, future year adjustments for Federal MHDV rule, 10.15 kg CO2/gal</t>
  </si>
  <si>
    <t>Medium truck - electric</t>
  </si>
  <si>
    <t>Heavy truck - diesel</t>
  </si>
  <si>
    <t>AEO heavy truck mpg for base year, future year adjustments for Federal MHDV rule, 10.15 kg CO2/gal</t>
  </si>
  <si>
    <t>Heavy truck - electric</t>
  </si>
  <si>
    <t>Heavy truck - H2 fuel cell</t>
  </si>
  <si>
    <t>Miles per vehicle per year</t>
  </si>
  <si>
    <t>Transit bus</t>
  </si>
  <si>
    <t>School bus</t>
  </si>
  <si>
    <t>U.S. EPA (2016): 9,939 mi/year, from the 1997 School Bus Fleet Fact Book</t>
  </si>
  <si>
    <t>Medium truck</t>
  </si>
  <si>
    <t>Computed from Argonne National Lab - VISION model (2019) data</t>
  </si>
  <si>
    <t>Heavy truck (electric)</t>
  </si>
  <si>
    <t>69 miles per day for class 7 delivery truck (Gao et al. 2017) - local food delivery</t>
  </si>
  <si>
    <t>Heavy truck (H2 FC)</t>
  </si>
  <si>
    <t>Argonne VISION model, computed average for Class 7/8 truck</t>
  </si>
  <si>
    <t>Transit bus hybrid</t>
  </si>
  <si>
    <t>= miles per year * (g/mi[hybrid] - g/mi[diesel])</t>
  </si>
  <si>
    <t>Transit bus all-electric</t>
  </si>
  <si>
    <t>= miles per year * (g/mi[electric] - g/mi[diesel])</t>
  </si>
  <si>
    <t>Per vehicle</t>
  </si>
  <si>
    <t>CO2 change (tons/year):</t>
  </si>
  <si>
    <t>= Miles/year/vehicle * g/mile / 1000000</t>
  </si>
  <si>
    <t>Hydrogen Refueling Stations</t>
  </si>
  <si>
    <t>Per station</t>
  </si>
  <si>
    <t>Utilization rate</t>
  </si>
  <si>
    <t>RMI (2020): 10% in 5-year term, 30% long-term for DCFC, assumed same for H2</t>
  </si>
  <si>
    <t>Time to refuel (hrs)</t>
  </si>
  <si>
    <t>Daily service time (hrs)</t>
  </si>
  <si>
    <t>RMI (2020): most DCFC demand between 6 am and 10 pm, assumed same for H2</t>
  </si>
  <si>
    <t>Number of vehicles served per station per day</t>
  </si>
  <si>
    <t>= Service time / time to refuel * utilization rate</t>
  </si>
  <si>
    <t>H2 % renewable (vs. natural gas)</t>
  </si>
  <si>
    <t>Assumption</t>
  </si>
  <si>
    <t>H2 carbon intensity, g CO2/MJ</t>
  </si>
  <si>
    <t>Compressed, central NG reform</t>
  </si>
  <si>
    <t>CARB (2015) value of 152.5 life-cycle, deflated based on ratio of direct to life-cycle for diesel</t>
  </si>
  <si>
    <t>Compressed, on-site renewable</t>
  </si>
  <si>
    <t>CARB (2015) value of 62.1 life-cycle, deflated based on ratio of direct to life-cycle for diesel</t>
  </si>
  <si>
    <t>Weighted average</t>
  </si>
  <si>
    <t>Calculated</t>
  </si>
  <si>
    <t>H2 carbon intensity, g CO2/GDE</t>
  </si>
  <si>
    <t>= g CO2/MJ * 136 MJ/GDE [GDE = gallon diesel equivalent]</t>
  </si>
  <si>
    <t>Heavy truck diesel mi/gallon</t>
  </si>
  <si>
    <t>AEO, 2019 Reference Case</t>
  </si>
  <si>
    <t>H2/diesel energy efficiency ratio (EER)</t>
  </si>
  <si>
    <t>GREET model, v.2020</t>
  </si>
  <si>
    <t>Heavy truck H2 g CO2/mi</t>
  </si>
  <si>
    <t>= g CO2/GDE / mi/gal / EER</t>
  </si>
  <si>
    <t>per H2 truck served</t>
  </si>
  <si>
    <t>per H2 station</t>
  </si>
  <si>
    <t>= CO2 change/truck * trucks/charger</t>
  </si>
  <si>
    <t>Points per new station</t>
  </si>
  <si>
    <t>B</t>
  </si>
  <si>
    <t>Average trip length (mi) - all purposes</t>
  </si>
  <si>
    <t>2017 NHTS Trends, Table 6b</t>
  </si>
  <si>
    <t>C</t>
  </si>
  <si>
    <t>Annual miles driven</t>
  </si>
  <si>
    <t>D1</t>
  </si>
  <si>
    <t>D2</t>
  </si>
  <si>
    <t>Per household</t>
  </si>
  <si>
    <t>FHWA (2018), based on 2017 NHTS</t>
  </si>
  <si>
    <t>D3</t>
  </si>
  <si>
    <t>Per worker (commuting)</t>
  </si>
  <si>
    <t>2017 NHTS work trip length * 2 * 250</t>
  </si>
  <si>
    <t>Additional Fee on Parking</t>
  </si>
  <si>
    <t>Elasticity of driving w/r/t fuel price</t>
  </si>
  <si>
    <t>Small and van Dender (2007)</t>
  </si>
  <si>
    <t>Price of gasoline ($/gal)</t>
  </si>
  <si>
    <t>AEO 2022 Reference case for 2021</t>
  </si>
  <si>
    <t>Average mpg</t>
  </si>
  <si>
    <t>AEO 2020 Reference Case, Table 7</t>
  </si>
  <si>
    <t>$1 parking fee equivalent cost per mile</t>
  </si>
  <si>
    <t>$1.00 / B</t>
  </si>
  <si>
    <t>$1 parking fee equivalent cost per gallon</t>
  </si>
  <si>
    <t>= Cost per mile * miles per gallon</t>
  </si>
  <si>
    <t>Leakage factor (destination change)</t>
  </si>
  <si>
    <t>Placeholder for people to shift trip destination rather than paying fee. No good research.</t>
  </si>
  <si>
    <t>% VMT change for affected trips</t>
  </si>
  <si>
    <t>= Fee cost per gallon / gas cost per gallon * elasticity</t>
  </si>
  <si>
    <t>Trips per covered space per day</t>
  </si>
  <si>
    <t>Assumes 1 round trip to a workplace or home.  For short-term parking, fee is prorated.</t>
  </si>
  <si>
    <t>Change in annual VMT per space per $</t>
  </si>
  <si>
    <t>= Change in VMT * 1000 * A / 1000000</t>
  </si>
  <si>
    <t>Unbundle Residential Parking</t>
  </si>
  <si>
    <t>Annual parking cost per space</t>
  </si>
  <si>
    <t>= $100 * 12</t>
  </si>
  <si>
    <t>Annual vehicle cost</t>
  </si>
  <si>
    <t>AAA (2021)</t>
  </si>
  <si>
    <t>Elasticity of vehicle ownership with respect to total vehicle cost</t>
  </si>
  <si>
    <t>Litman (2021)</t>
  </si>
  <si>
    <t>Adjustment factor from vehicle ownership to VMT</t>
  </si>
  <si>
    <t>FHWA (2017), as cited in CAPCOA (2021)</t>
  </si>
  <si>
    <t>Percent reduction in miles per vehicle</t>
  </si>
  <si>
    <t>= (parking cost) / (vehicle cost) * elasticity * adjustment factor</t>
  </si>
  <si>
    <t>Change in annual VMT per space per $100/mo</t>
  </si>
  <si>
    <t>= D1 * percent reduction</t>
  </si>
  <si>
    <t>Change in annual VMT per DU</t>
  </si>
  <si>
    <t>Eliminate minimum parking requirements and set maximum levels (workplace)</t>
  </si>
  <si>
    <t>Per 1,000 sq. ft.</t>
  </si>
  <si>
    <t>% change in commute driving for workers with limited parking</t>
  </si>
  <si>
    <t>Chatman (2013) for residential, as cited in CAPCOA (2021)</t>
  </si>
  <si>
    <t>Change in commute VMT per affected worker</t>
  </si>
  <si>
    <t>= D3 * % change in commute driving</t>
  </si>
  <si>
    <t>Workers per 1,000 square feet</t>
  </si>
  <si>
    <t>Assumes 250 sq. ft/worker (office/R&amp;D)</t>
  </si>
  <si>
    <t>Change in annual VMT per 1,000 sq. ft.</t>
  </si>
  <si>
    <t>Change in annual tons CO2 per 1,000 sq. ft.</t>
  </si>
  <si>
    <t>Points per 1,000 sq. ft</t>
  </si>
  <si>
    <t>TRAVEL DEMAND MANAGEMENT STRATEGIES</t>
  </si>
  <si>
    <t>Vanpool</t>
  </si>
  <si>
    <t>Base year assumed 10 mpg, future year efficiency/electrification adjustments proportional to auto</t>
  </si>
  <si>
    <t>Average work trip length (mi)</t>
  </si>
  <si>
    <t>FHWA (2018), Table 26</t>
  </si>
  <si>
    <t>TCRP Report 95, Chapter 5. Typical average length is close to 25 miles (p. 5-13, Table 5-5)</t>
  </si>
  <si>
    <t>TCRP Report 95, Chapter 5, Table 5-6</t>
  </si>
  <si>
    <t>Commute Trip Reduction Program - Voluntary</t>
  </si>
  <si>
    <t>Per Program $1,000</t>
  </si>
  <si>
    <t>MWCOG (2009), as analyzed by CS for Colorado DOT (2010) and updated 2022</t>
  </si>
  <si>
    <t>= Change in VMT * 1000 * A1 / 1000000</t>
  </si>
  <si>
    <t xml:space="preserve">Points per program $1,000 </t>
  </si>
  <si>
    <t>Per 1,000 Covered Employees</t>
  </si>
  <si>
    <t>WSCTRB (2017)</t>
  </si>
  <si>
    <t>= % VMT Change * B1 * 2 * C * 1000</t>
  </si>
  <si>
    <t>Change in annual tons CO2 per $</t>
  </si>
  <si>
    <t>= Change in VMT * A1 / 1000000</t>
  </si>
  <si>
    <t>Commute Trip Reduction Program - Marketing</t>
  </si>
  <si>
    <t>Annual VMT reduced per program $</t>
  </si>
  <si>
    <t>Employer Sponsored Vanpool</t>
  </si>
  <si>
    <t>Per New Vanpool</t>
  </si>
  <si>
    <t>Average vanpool occupancy</t>
  </si>
  <si>
    <t>CDOT (2019), total participants / total vans</t>
  </si>
  <si>
    <t>Prior drive mode share of new vanpoolers</t>
  </si>
  <si>
    <t>TCRP Report 95, Chapter 5, p. 5-34. Total prior auto drivers, counting in carpool drivers, are in the 45% to over 65% range</t>
  </si>
  <si>
    <t>Vanpool circuity factor</t>
  </si>
  <si>
    <t>Estimate (ratio of distance driven by van to distance driven by individuals commuting on shortest path)</t>
  </si>
  <si>
    <t>Annual VMT change per new vanpool</t>
  </si>
  <si>
    <t>= occupancy * prior drive mode share * B1 * C</t>
  </si>
  <si>
    <t>= circuity factor * B1 * C</t>
  </si>
  <si>
    <t>Change in annual tons CO2 per new vanpool</t>
  </si>
  <si>
    <t>= Change in auto VMT * A1 / 1000000</t>
  </si>
  <si>
    <t>= Change in vanpool VMT * A2 / 1000000</t>
  </si>
  <si>
    <t>= Sum of auto and vanpool change</t>
  </si>
  <si>
    <t>Carshare</t>
  </si>
  <si>
    <t>Per # cars provided</t>
  </si>
  <si>
    <t>Households served per car</t>
  </si>
  <si>
    <t>Litman (2018) - typically 10-20 members per vehicle</t>
  </si>
  <si>
    <t>Annual VMT reduction per HH served</t>
  </si>
  <si>
    <t>Litman (2018) - carshare HHs are typically lower mileage HHs who reduce travel 50% (6,000 to 3,000 annual miles)</t>
  </si>
  <si>
    <t>Change in annual CO2 per car (tons)</t>
  </si>
  <si>
    <t>Points per new carshare vehicle</t>
  </si>
  <si>
    <t>grams CO2 per vehicle-mile (heavy truck)</t>
  </si>
  <si>
    <t>Based on AEO forecast mpg (no electrification)</t>
  </si>
  <si>
    <t>CO2 fraction from heavy vehicles (2019)</t>
  </si>
  <si>
    <t>National average based on AEO data</t>
  </si>
  <si>
    <t>kg CO2 per hour of delay (all traffic)</t>
  </si>
  <si>
    <t>2019 based on TTI (2021), future years adjusted by relative efficiency improvement of autos and heavy trucks</t>
  </si>
  <si>
    <t>Retime/optimize arterial signals</t>
  </si>
  <si>
    <t>Per 10,000 AADT per signal</t>
  </si>
  <si>
    <t>Sample corridor length (mi)</t>
  </si>
  <si>
    <t>Signals per mile</t>
  </si>
  <si>
    <t>Baseline corridor travel speed (mph)</t>
  </si>
  <si>
    <t>USDOT (2010), p. 4-24: travel time reductions of 8-25% possible for preset signals, or 8-41% for actuated signals</t>
  </si>
  <si>
    <t>New corridor travel speed (mph)</t>
  </si>
  <si>
    <t>Calculation</t>
  </si>
  <si>
    <t>Average daily arterial traffic volume at signal</t>
  </si>
  <si>
    <t>Change in travel time per vehicle (hours)</t>
  </si>
  <si>
    <t>Daily total delay reduction (hours)</t>
  </si>
  <si>
    <t>Annual change in tons CO2 per signal</t>
  </si>
  <si>
    <t>Points per signal per 10,000 AADT</t>
  </si>
  <si>
    <t>Roundabout</t>
  </si>
  <si>
    <t>Annual t CO2 reduced per roundabout</t>
  </si>
  <si>
    <t>Based on San Diego County and NYT (2021) citing 20,000 gallons saved/year; reducing 22% to account for 2025 vs. 2012 fuel consumption rates</t>
  </si>
  <si>
    <t>Points per roundabout</t>
  </si>
  <si>
    <t>Short Name</t>
  </si>
  <si>
    <t>Citation</t>
  </si>
  <si>
    <t>Formatting notes</t>
  </si>
  <si>
    <t>AAA (2021). Your Driving Costs.</t>
  </si>
  <si>
    <t>placeholder, need to verify/lookup value</t>
  </si>
  <si>
    <t xml:space="preserve">AEO </t>
  </si>
  <si>
    <t>U.S. Department of Energy, Annual Energy Outlook Reference Case, 2019 or 2022</t>
  </si>
  <si>
    <t>formula referencing value in another strategy</t>
  </si>
  <si>
    <t>AFDC</t>
  </si>
  <si>
    <t>Alternative Fuels Data Center</t>
  </si>
  <si>
    <t>output (points)</t>
  </si>
  <si>
    <t>Buehler (2012)</t>
  </si>
  <si>
    <t>Buehler, R., and J. Pucher (2012). “Cycling to Work in 90 Large American Cities: New Evidence on the Role of Bike Paths and Lanes.” Transportation 39:409–432.</t>
  </si>
  <si>
    <t>future years copied from base year</t>
  </si>
  <si>
    <t>California Air Pollution Control Officers Association (2021). Handbook for Analyzing Greenhouse Gas Emission Reductions, Assessing Climate Vulnerabilities, and Advancing Health and Equity.</t>
  </si>
  <si>
    <t>CARB (2015)</t>
  </si>
  <si>
    <t>California Air Resources Board (2015). Staff Report: Calculating Life Cycle Carbon Intensity Value of Transportation Fuels in California.</t>
  </si>
  <si>
    <t>CDOT (2019)</t>
  </si>
  <si>
    <t>Colorado Department of Transportation (2019). Statewide Transportation Demand Management Plan. Phase 1 Report: Colorado Transportation Options. Prepared by Wilson &amp; Company, Inc.</t>
  </si>
  <si>
    <t>CS (2010)</t>
  </si>
  <si>
    <t>Cambridge Systematics and Sprinkle Consulting (2010). Transportation Demand Management Project Evaluation and Funding Methods in the Denver Region. Prepared for Colorado DOT.</t>
  </si>
  <si>
    <t>Cambridge Systematics (2021). Transportation Investment Strategy Tool Documentation, 2021. Prepared for Georgetown Climate Center.</t>
  </si>
  <si>
    <t>FHWA (2018)</t>
  </si>
  <si>
    <t>McGuckin, N. and A. Fucci (2018). Summary of Travel Trends: 2017 National Household Travel Survey. U.S. Department of Transportation, Federal Highway Administration, FHWA-PL-18-019.</t>
  </si>
  <si>
    <t>ITF (2020)</t>
  </si>
  <si>
    <t>International Transport Forum (ITF). (2020). “Good to Go? Assessing the Environmental Performance of New Mobility.”</t>
  </si>
  <si>
    <t>Litman (2018)</t>
  </si>
  <si>
    <t>Litman, T. (2018). TDM Encyclopedia: Carsharing. Victoria Transport Policy Institute.</t>
  </si>
  <si>
    <t>Litman, T. (2021). TDM Encyclopedia: Parking Requirement Impacts on Housing Affordability. Victoria Transport Policy Institute.</t>
  </si>
  <si>
    <t>MacArthur (2018)</t>
  </si>
  <si>
    <t>MacArthur, J., C. Cherry, M. Harpool and D. Scheppke. (2018). A North American Survey of Electric Bicycle Owners. NITC-RR-1041. Portland, OR: Transportation Research and Education Center (TREC). https://dx.doi.org/10.15760/ trec.197</t>
  </si>
  <si>
    <t>Mobility Lab (2019)</t>
  </si>
  <si>
    <t>Mobility Lab, Arlington County Commuter Services (ACCS). (2019). Arlington County Shared Mobility (SMD) Pilot Evaluation Report.</t>
  </si>
  <si>
    <t>MWCOG (2009)</t>
  </si>
  <si>
    <t>LDA Consulting et al for Metro Washington Council of Governments (2009). Transportation Emission Reduction Analysis Report, FY 2006–2008.</t>
  </si>
  <si>
    <t>NABSA (2020)</t>
  </si>
  <si>
    <t>NACTO (2018)</t>
  </si>
  <si>
    <t>National Association of City Transportation Officials (NACTO). (2018). Shared Micromobility in the U.S.: 2018.</t>
  </si>
  <si>
    <t>NTD (2019)</t>
  </si>
  <si>
    <t>2019 National Transit Database (data analysis by Cambridge Systematics)</t>
  </si>
  <si>
    <t>PBOT (2020)</t>
  </si>
  <si>
    <t>Ramboll (2020)</t>
  </si>
  <si>
    <t>Ramboll. (2020). Achieving Sustainable Micro-mobility. &lt;https://ramboll.com/-/media/files/rgr/documents/markets/transport/m/ramboll_micro-mobility_greenpaper_a4_0320_lowres_v.pdf?la=en&gt;</t>
  </si>
  <si>
    <t>Rabi (2012)</t>
  </si>
  <si>
    <t>Rabi, A. and A. de Nazelle (2012). “Benefits of Shift from Car to Active Transport.” Transport Policy 19(1).</t>
  </si>
  <si>
    <t>RMI (2020)</t>
  </si>
  <si>
    <t>Rocky Mountain Institute (2020). DCFC Rate Design Study. Prepared for Colorado Energy Office.</t>
  </si>
  <si>
    <t>Small, K. and K. Van Dender (2007). Fuel Efficiency and Motor Vehicle Travel: The Declining Rebound Effect. The Energy Journal, 28:1.</t>
  </si>
  <si>
    <t>TCRP Report 95 Chapter 12</t>
  </si>
  <si>
    <t>McCollom, B.E., and R. H. Pratt, et al (2004). TCRP Report 95, Traveler Response to Transportation System Changes. Chapter 12: Transit Pricing and Fares. Transportation Research Board, Washington, D.C.</t>
  </si>
  <si>
    <t>TCRP Report 95 Chapter 5</t>
  </si>
  <si>
    <t>Evans, J.E., and R. H. Pratt, et al (2005). TCRP Report 95, Traveler Response to Transportation System Changes. Chapter 5: Vanpools and Buspools. Transportation Research Board, Washington, D.C.</t>
  </si>
  <si>
    <t>TTI (2021)</t>
  </si>
  <si>
    <t>Texas A&amp;M Transportation Institute (2021). Urban Mobility Report. As analyzed in Cambridge Systematics (2021).</t>
  </si>
  <si>
    <t>U.S. EPA (2016)</t>
  </si>
  <si>
    <t>U.S. Environmental Protection Agency (EPA) (2016). Population and Activity of On-road Vehicles in MOVES2014. EPA-420-R-16-003.</t>
  </si>
  <si>
    <t>USDOT (2010)</t>
  </si>
  <si>
    <t>U.S. Department of Transportation (2010). Transportation's Role in Reducing U.S. Greenhouse Gas Emissions.</t>
  </si>
  <si>
    <t>Washington State Commute Trip Reduction Board (2017). 2017 Report to the Legislature.</t>
  </si>
  <si>
    <t>Vanpool, fleet average</t>
  </si>
  <si>
    <t>A3</t>
  </si>
  <si>
    <t>Vanpool, electric</t>
  </si>
  <si>
    <t>= Change in vanpool VMT * A3 / 1000000</t>
  </si>
  <si>
    <t>Net, fleet average vanpool</t>
  </si>
  <si>
    <t>Net, electric vanpool</t>
  </si>
  <si>
    <t>Points per new vanpool (fleet average)</t>
  </si>
  <si>
    <t>Points per new vanpool (electric)</t>
  </si>
  <si>
    <t>Transit bus - CNG</t>
  </si>
  <si>
    <t>gCO2e/ GGE</t>
  </si>
  <si>
    <t>Kg-CO2 per MillionBtu</t>
  </si>
  <si>
    <t>BTU/gal</t>
  </si>
  <si>
    <t>Source:</t>
  </si>
  <si>
    <t>NEMS output (2019)</t>
  </si>
  <si>
    <t>NEMS (2019)</t>
  </si>
  <si>
    <t>CNG efficiency factor vs. diesel</t>
  </si>
  <si>
    <t>GDE/GGE</t>
  </si>
  <si>
    <t>gCO2e/ GDE</t>
  </si>
  <si>
    <t>CNG Bus Emissions</t>
  </si>
  <si>
    <t>Diesel Bus Emissions</t>
  </si>
  <si>
    <t>CNG/diesel direct emissions</t>
  </si>
  <si>
    <t>*does not include lifecycle emissions, which may be larger for CNG than diesel, depending on production pathway, methane leakage, etc.</t>
  </si>
  <si>
    <t>CO2 change per  vehicle (tons/year)</t>
  </si>
  <si>
    <t>School bus electric</t>
  </si>
  <si>
    <t>Medium truck electric</t>
  </si>
  <si>
    <t>Heavy truck electric</t>
  </si>
  <si>
    <t>Transit bus CNG</t>
  </si>
  <si>
    <t>= miles per year * (g/mi[CNG] - g/mi[diesel])</t>
  </si>
  <si>
    <t>Points per new  vehicle</t>
  </si>
  <si>
    <t>Calculated based on 0.60 ratio of CNG to diesel direct CO2 emissions per unit energy</t>
  </si>
  <si>
    <t>= 1000 * A1 * B1 * C3 * D / 1000000</t>
  </si>
  <si>
    <t>= 1000 * C1 * A1 * / 1000000</t>
  </si>
  <si>
    <t>Induced travel elasticity (% change in VMT with respect to % change in travel time)</t>
  </si>
  <si>
    <t>Corridor travel time change (%)</t>
  </si>
  <si>
    <t>From delay reduction</t>
  </si>
  <si>
    <t>From VMT increase</t>
  </si>
  <si>
    <t>Net CO2 change</t>
  </si>
  <si>
    <t>New volume</t>
  </si>
  <si>
    <t>[U.K.] Highways Agency (1997)</t>
  </si>
  <si>
    <t>[U.K.] Highways Agency (1997). Design Manual for Roads and Bridges, Volume 12, Section 2, Part 2: Induced Traffic Appraisal.</t>
  </si>
  <si>
    <t>[U.K.] Highways Agency (1997), recommended value of -0.20 to -0.33 for "urban areas with low modal competition, or interurban"; Barr (2000), -0.3 to -0.5</t>
  </si>
  <si>
    <t>Barr (2000)</t>
  </si>
  <si>
    <t>Barr, L.C. (2000). "Testing for the significance of induced highway travel demand in metropolitan areas", Transportation Research Record: Journal of the Transportation Research Board, vol. 1706.</t>
  </si>
  <si>
    <t>Per 10,000 AADT per roundabout</t>
  </si>
  <si>
    <t>Int 1</t>
  </si>
  <si>
    <t>Int 2</t>
  </si>
  <si>
    <t>CO2 kg/hr</t>
  </si>
  <si>
    <t>Hourly Volume</t>
  </si>
  <si>
    <t>Before</t>
  </si>
  <si>
    <t>After</t>
  </si>
  <si>
    <t>Change</t>
  </si>
  <si>
    <t>Average</t>
  </si>
  <si>
    <t>Hu et al (2014)</t>
  </si>
  <si>
    <t>Analysis year unspecified, estimated 2012</t>
  </si>
  <si>
    <t>Intersection</t>
  </si>
  <si>
    <t>CO2 change, tons/year/10,000 AADT</t>
  </si>
  <si>
    <t>CO2 kg/veh</t>
  </si>
  <si>
    <t>CO2 change, kg/vehicle</t>
  </si>
  <si>
    <t>Annual vehicles</t>
  </si>
  <si>
    <t>Points per roundabout per 10,000 AADT</t>
  </si>
  <si>
    <t>Hu, W.; A.T. McCartt, J.S. Jermakian, S. Mandavilli (2014). Public Opinion, Traffic Performance, the Environment, and Safety After Construction of Double-Lane Roundabouts. Transportation Research Record no. 2402.</t>
  </si>
  <si>
    <t>Calculated from data in Hu et al (2014), adjusted for ratio of 2025 to 2012 emissions based on AEO data</t>
  </si>
  <si>
    <t>Bike lane/facility - core urban</t>
  </si>
  <si>
    <t>Sidewalk/ pedestrian facility - core urban</t>
  </si>
  <si>
    <t>Shared-use path - core urban</t>
  </si>
  <si>
    <t>“Complete Streets” reconstruction - core urban</t>
  </si>
  <si>
    <t>B3</t>
  </si>
  <si>
    <t>Walkers</t>
  </si>
  <si>
    <t>New Bicyclists (Daily)</t>
  </si>
  <si>
    <t>New Walkers (Daily)</t>
  </si>
  <si>
    <t>New bicyclists: Transportation Investment Strategy Tool documentation, Table A.4</t>
  </si>
  <si>
    <t>New walkers: Same as sidewalk/pedestrian facility</t>
  </si>
  <si>
    <t>% change in work trip VMT for covered employees</t>
  </si>
  <si>
    <t>VMT change per 1,000 covered employee (annual)</t>
  </si>
  <si>
    <t>Points per 1,000 covered employees</t>
  </si>
  <si>
    <t>LAND USE STRATEGIES</t>
  </si>
  <si>
    <t>Increase Residential Density</t>
  </si>
  <si>
    <t>Stevens (2016), as cited in CAPCOA (2021)</t>
  </si>
  <si>
    <t>Increase Job Density</t>
  </si>
  <si>
    <t>Change in annual CO2 (tons) per rezoned acre</t>
  </si>
  <si>
    <t>Change in annual VMT per residential unit</t>
  </si>
  <si>
    <t>Points per rezoned acre</t>
  </si>
  <si>
    <t>Elasticity of VMT with respect to job density</t>
  </si>
  <si>
    <t>Elasticity of VMT with respect to residential density</t>
  </si>
  <si>
    <t>Square feet of building space per employee</t>
  </si>
  <si>
    <t>Employees per acre at 1.0 FAR</t>
  </si>
  <si>
    <t>43,560 / square feet/employee</t>
  </si>
  <si>
    <t>Annual work trip VMT per employee</t>
  </si>
  <si>
    <t>Baseline</t>
  </si>
  <si>
    <t>Change from rezoning</t>
  </si>
  <si>
    <t>USDOT (2010), p. 5-75, 5% reduction in SOV mode share; Boarnet (2014) as cited in CAPCOA (2021), 4-6% VMT reduction</t>
  </si>
  <si>
    <t>Per acre rezoned from &lt;10 units/acre to at least 15-25 units/acre meeting "smart growth" criteria</t>
  </si>
  <si>
    <t>Per acre rezoned from &lt;0.5 FAR to at least 1.0 FAR meeting "smart growth" criteria</t>
  </si>
  <si>
    <t>Change in annual VMT per rezoned acre</t>
  </si>
  <si>
    <t>Per acre of area rezoned for mixed-use TOD accommodating at least 25 residential units/acre and 150 jobs/acre, within 1/2 mile of fixed-guideway transit station</t>
  </si>
  <si>
    <t>Telework</t>
  </si>
  <si>
    <t>Rebound effect (additional non-work travel as % of reduced work travel)</t>
  </si>
  <si>
    <t>Change in annual CO2 per 100 new teleworkers per additional day per week (tons)</t>
  </si>
  <si>
    <t>Daily work trip VMT change per new teleworker</t>
  </si>
  <si>
    <t xml:space="preserve">Annual VMT change per 100 new teleworkers per additional day per week </t>
  </si>
  <si>
    <t>Per 100 employees teleworking additional 1 day/week</t>
  </si>
  <si>
    <t>"Overall rebound effect" for a telecommuter on a telecommuter day, based on analysis of 2012-2013 California Household Travel Survey (CS, 2019)</t>
  </si>
  <si>
    <t>CS (2019)</t>
  </si>
  <si>
    <t>Cambridge Systematics (2019). "The Future of the Workplace: How Will Economic and Technological Changes Affect Work Travel and Emissions?" Presented to Southern California Association of Governments.</t>
  </si>
  <si>
    <t>= Daily VMT change * (1 - rebound effect) * 48 weeks/year</t>
  </si>
  <si>
    <t>= B1 * 2</t>
  </si>
  <si>
    <t>= Change in VMT * A1 * 100 / 1000000</t>
  </si>
  <si>
    <t>= Change in VMT/acre * A / 1000000</t>
  </si>
  <si>
    <t>= Change in VMT/unit * 25 + change in VMT/employee * 150</t>
  </si>
  <si>
    <t>= D2 * elasticity * 100% density increase (assumes typical density 9 units/ac per CAPCOA is doubled to 18 units/ac)</t>
  </si>
  <si>
    <t>= Change in VMT/unit * A * 18 / 1000000</t>
  </si>
  <si>
    <t>= TDM-B1 * TDM-C * 2</t>
  </si>
  <si>
    <t>= Baseline VMT * elasticity * 100% density increase</t>
  </si>
  <si>
    <t>= Change in VMT/employee * employees/acre * A / 1000000</t>
  </si>
  <si>
    <t>= Volume + [Volume * % travel time change * elasticity]</t>
  </si>
  <si>
    <t>= Delay reduction * CO2/hour * 365 / 1000</t>
  </si>
  <si>
    <t>= Volume change * miles/signal * g/mi [auto] * 365 / 1000000</t>
  </si>
  <si>
    <t>= 10,000 * 365</t>
  </si>
  <si>
    <t>= Vehicles * kg/vehicle / 1000</t>
  </si>
  <si>
    <t>Newly added since last review</t>
  </si>
  <si>
    <t>User-input method for new transit service</t>
  </si>
  <si>
    <t>Anticipated share of new riders who previously drove or used a taxi/TNC</t>
  </si>
  <si>
    <t>Transit vehicle technology</t>
  </si>
  <si>
    <t>Transit vehicle size</t>
  </si>
  <si>
    <t>35-40' bus</t>
  </si>
  <si>
    <t>15-20' van</t>
  </si>
  <si>
    <t>size</t>
  </si>
  <si>
    <t>technology</t>
  </si>
  <si>
    <t>diesel</t>
  </si>
  <si>
    <t>CNG</t>
  </si>
  <si>
    <t>hybrid electric</t>
  </si>
  <si>
    <t>electric</t>
  </si>
  <si>
    <t>Agency service plan</t>
  </si>
  <si>
    <t>Agency estimate based on survey, model, or similar service</t>
  </si>
  <si>
    <t>Average unlinked trip length of new riders (mi)</t>
  </si>
  <si>
    <t>Agency estimate based on rider surveys or local mode shares. Use 60% if no local data available.</t>
  </si>
  <si>
    <t>Agency estimate based on rider surveys, models, or data. Use 4.52 if no local data available.</t>
  </si>
  <si>
    <t>Planned new annual vehicle revenue-miles</t>
  </si>
  <si>
    <t>Anticipated new ridership (annual unlinked trips)</t>
  </si>
  <si>
    <t>Average load factor for new service</t>
  </si>
  <si>
    <t>Change in annual auto VMT</t>
  </si>
  <si>
    <t>New bus service</t>
  </si>
  <si>
    <t>Net change</t>
  </si>
  <si>
    <t>Change in annual tons CO2</t>
  </si>
  <si>
    <t>Points</t>
  </si>
  <si>
    <t>Emission Factors</t>
  </si>
  <si>
    <t>Lists</t>
  </si>
  <si>
    <t>fleet average</t>
  </si>
  <si>
    <t xml:space="preserve">User input </t>
  </si>
  <si>
    <t>= new riders * trip length / new revenue-miles</t>
  </si>
  <si>
    <t>= new riders * trip length * prior drive mode share</t>
  </si>
  <si>
    <t>Broadband</t>
  </si>
  <si>
    <t>Per 100 new households served</t>
  </si>
  <si>
    <t>% VMT for "personal business"</t>
  </si>
  <si>
    <t>% VMT for work</t>
  </si>
  <si>
    <t>FHWA (2018), Table 6a</t>
  </si>
  <si>
    <t>Annual household VMT change per new broadband service point</t>
  </si>
  <si>
    <t>Change in personal business VMT due to tele-travel</t>
  </si>
  <si>
    <t>Change in annual CO2 per 100 new households served with broadband (tons)</t>
  </si>
  <si>
    <t xml:space="preserve">Points per 100 new households served with broadband </t>
  </si>
  <si>
    <t xml:space="preserve">Points per 100 new teleworkers per additional day per week </t>
  </si>
  <si>
    <t>= [Land Use-D2] * (% VMT * VMT reduction for personal business + % VMT * VMT reduction for work)</t>
  </si>
  <si>
    <t>Colorado DOT</t>
  </si>
  <si>
    <t xml:space="preserve">Change in work travel due to work-from-home </t>
  </si>
  <si>
    <t>Per vehicle replacing a diesel vehicle</t>
  </si>
  <si>
    <t>Change in annual tons CO2 per 100 spaces per $</t>
  </si>
  <si>
    <t>Per 1,000 covered spaces per daily dollar fee</t>
  </si>
  <si>
    <t>Points per 1,000 spaces per $ daily fee</t>
  </si>
  <si>
    <t>Points per 1,000 spaces per $100 monthly cost</t>
  </si>
  <si>
    <t>Per 1,000 dwelling unit (DU)</t>
  </si>
  <si>
    <t>Points per 1,000 DU</t>
  </si>
  <si>
    <t>Change in annual tons CO2 per 1,000 DU</t>
  </si>
  <si>
    <t>Change in annual tons CO2 per 1,000 space per $</t>
  </si>
  <si>
    <t>ULI’s “Parking Policy Reform - Potential Benefits of Implementing Off-Street Parking Policy Updates,” 01.24. 2020 https://americas.uli.org/wp-content/uploads/sites/2/ULI-Documents/ULI-Parking-Policy-Research-Potential-Benefits-of-Reforms.pdf</t>
  </si>
  <si>
    <t>SJSU/VTA Collaborative Research Project, “A Parking Utilization Survey of Transit-Oriented Development Residential Properties in Santa Clara County,” 11.2010 http://www.sjsu.edu/urbanplanning/docs/VTA-TODParkingSurveyReport-VolI.pdf</t>
  </si>
  <si>
    <t>Mixed-use Transit-Oriented Development (higher intensity)</t>
  </si>
  <si>
    <t>Mixed-use Transit-Oriented Development (moderate intensity)</t>
  </si>
  <si>
    <t>Per acre of area rezoned for mixed-use TOD accommodating at least 15 residential units/acre and 100 jobs/acre, within 1/2 mile of high-frequency bus transit or fixed-guideway station</t>
  </si>
  <si>
    <t>= Change in VMT/unit * 15 + change in VMT/employee * 100</t>
  </si>
  <si>
    <t>= Combined effect for increasing residential density + increasing job density</t>
  </si>
  <si>
    <t xml:space="preserve">Per 1,000 covered spaces @ $100/mo </t>
  </si>
  <si>
    <t>FHWA (2018), Table 6b</t>
  </si>
  <si>
    <t>Web Link</t>
  </si>
  <si>
    <t>https://newsroom.aaa.com/wp-content/uploads/2021/08/2021-YDC-Brochure-Live.pdf</t>
  </si>
  <si>
    <t>https://www.eia.gov/outlooks/aeo/</t>
  </si>
  <si>
    <t>https://afdc.energy.gov/</t>
  </si>
  <si>
    <t>https://www.airquality.org/ClimateChange/Documents/Handbook%20Public%20Draft_2021-Aug.pdf</t>
  </si>
  <si>
    <t>https://ww2.arb.ca.gov/sites/default/files/classic/fuels/lcfs/peerreview/050515staffreport_ca-greet.pdf</t>
  </si>
  <si>
    <t>https://www.codot.gov/programs/innovativemobility/mobility-services/tdm/links.html</t>
  </si>
  <si>
    <t>https://www.georgetownclimate.org/files/report/GCC_Investment_Tool.pdf</t>
  </si>
  <si>
    <t>https://nhts.ornl.gov/assets/2017_nhts_summary_travel_trends.pdf</t>
  </si>
  <si>
    <t>https://www.itf-oecd.org/good-go-assessing-environmental-performance-new-mobility</t>
  </si>
  <si>
    <t>https://www.vtpi.org/tdm/</t>
  </si>
  <si>
    <t>https://pdxscholar.library.pdx.edu/trec_reports/161/</t>
  </si>
  <si>
    <t>https://mobilitylab.org/research-document/arlington-county-shared-mobility-devices-smd-pilot-evaluation-report/</t>
  </si>
  <si>
    <t>https://www.mwcog.org/documents/2020/11/17/commuter-connections-transportation-emission-reduction-measure-term-analysis-report--carsharing-commuter-connections-commuting/</t>
  </si>
  <si>
    <t xml:space="preserve">North American Bikeshare Association (NABSA). (2020). 1st Annual Micromobility State of the Industry Report. </t>
  </si>
  <si>
    <t>https://doi.org/10.7922/G2057D6B</t>
  </si>
  <si>
    <t>https://nacto.org/shared-micromobility-2018/</t>
  </si>
  <si>
    <t>https://www.transit.dot.gov/ntd</t>
  </si>
  <si>
    <t>Portland Bureau of Transportation (2020). E-Scooter Findings Report.</t>
  </si>
  <si>
    <t xml:space="preserve"> https://www.portlandoregon.gov/transportation/article/709719</t>
  </si>
  <si>
    <t>https://rmi.org/insight/dcfc-rate-design-study/</t>
  </si>
  <si>
    <t>https://www.trb.org/Publications/TCRPReport95.aspx</t>
  </si>
  <si>
    <t>https://mobility.tamu.edu/umr/</t>
  </si>
  <si>
    <t>https://cfpub.epa.gov/si/si_public_record_report.cfm?Lab=OTAQ&amp;dirEntryId=309336</t>
  </si>
  <si>
    <t>http://www.reconnectingamerica.org/assets/Uploads/DOTClimateChangeReport-April2010-Volume1and2.pdf</t>
  </si>
  <si>
    <t>https://app.leg.wa.gov/ReportsToTheLegislature/Home/GetPDF?fileName=2017CTR_Report_cc6e5f5a-b10f-44b7-8304-fd65ba28133f.pdf</t>
  </si>
  <si>
    <t>https://journals.sagepub.com/doi/abs/10.3141/2402-06</t>
  </si>
  <si>
    <t>https://www.saferoutespartnership.org/resources/journal-article/cycling-work-90-large-american-cities</t>
  </si>
  <si>
    <t>https://journals.sagepub.com/doi/10.3141/1706-01</t>
  </si>
  <si>
    <t>Colorado DOT (2021). Cost-Benefit Analysis for Rules Governing Statewide Transportation Planning. August 31, 2021.</t>
  </si>
  <si>
    <t>https://www.codot.gov/business/rules/documents/cdot-cost-benefit-analysis-for-ghg-rule-sept-2021.pdf</t>
  </si>
  <si>
    <t>http://www3.drcog.org/documents/archive/_CODOT_TDM_COMPLETE%20-%20FINAL%202%2011%2010.pdf</t>
  </si>
  <si>
    <t>Average trip length (mi) - unlinked</t>
  </si>
  <si>
    <t>FHWA CMAQ Calculator Toolkit</t>
  </si>
  <si>
    <t>Eliminate minimum and set low maximum levels (residential)</t>
  </si>
  <si>
    <t>Change in annual VMT per DU for a 1-space reduction</t>
  </si>
  <si>
    <t>Urban core</t>
  </si>
  <si>
    <t>Suburban</t>
  </si>
  <si>
    <t>Urban</t>
  </si>
  <si>
    <t>CS analysis using King County (WA) Right Size Parking Tool</t>
  </si>
  <si>
    <t>Reduce or eliminate minimum and set moderate maximum levels (residential)</t>
  </si>
  <si>
    <t>scaled to 0.5 space/unit reduction instead of 1 space/unit</t>
  </si>
  <si>
    <t>assuming that typical parking is 2+ space/unit for 2+ bedroom</t>
  </si>
  <si>
    <t>CS analysis using sample projects from the King County (WA) Right Size Parking Calculator (https://rightsizeparking.org/)</t>
  </si>
  <si>
    <t>1,000 new vehicle revenue-miles</t>
  </si>
  <si>
    <t>Tons CO2 per new VRM</t>
  </si>
  <si>
    <t>= 1000 * B1 * C3 * D / 1000000</t>
  </si>
  <si>
    <t>New/increased fixed-route bus service - intercity</t>
  </si>
  <si>
    <t>Intercity bus</t>
  </si>
  <si>
    <t>2x MPG of urban bus</t>
  </si>
  <si>
    <t>= 1000 * C4 / 1000000</t>
  </si>
  <si>
    <t>Points per 1,000 new VRH (fleet average bus)</t>
  </si>
  <si>
    <t>Points per 1,000 new VRH (electric bus)</t>
  </si>
  <si>
    <t>Points per 1,000 new VRM (fleet average bus)</t>
  </si>
  <si>
    <t>Points per 1,000 new VRM (electric bus)</t>
  </si>
  <si>
    <t>Prior drive mode share of new riders (intercity)</t>
  </si>
  <si>
    <t>Reduce or eliminate minimum and set maximum levels (commercial)</t>
  </si>
  <si>
    <t>Per 10,000 sq. ft. gross floor area of commercial capacity</t>
  </si>
  <si>
    <t>Non-CBD area</t>
  </si>
  <si>
    <t>Baseline parking level (spaces per 1,000 sq. ft. general office or commercial) for existing mode share (no reduction)</t>
  </si>
  <si>
    <t>CBD area</t>
  </si>
  <si>
    <t>Workers per 10,000 sq. ft.</t>
  </si>
  <si>
    <t>Square feet per worker</t>
  </si>
  <si>
    <t>CBD, max 1.0 spaces/1,000 sq. ft.</t>
  </si>
  <si>
    <t>CBD, max 1.5 spaces/1,000 sq. ft.</t>
  </si>
  <si>
    <t>Non-CBD, max 2.5 spaces/1,000 sq. ft.</t>
  </si>
  <si>
    <t>Non-CBD, max 2.0 spaces/1,000 sq. ft.</t>
  </si>
  <si>
    <t>% change in auto mode share vs. baseline for maximum parking ratio for general office or commercial floor area:</t>
  </si>
  <si>
    <t xml:space="preserve">% change in auto mode share per 0.1 space parking reduction per 1,000 sq. ft. </t>
  </si>
  <si>
    <t>Points per 10,000 sq. ft. gross floor area of commercial capacity:</t>
  </si>
  <si>
    <t>Average for multiple employment categories; see CAPCOA (2021), p. 74</t>
  </si>
  <si>
    <t>= 10,000 / sq. ft. per worker</t>
  </si>
  <si>
    <t>Annual VMT change per 0.1 space reduction</t>
  </si>
  <si>
    <t>Annual VMT change per 10,000 sq. ft. revised parking ratios:</t>
  </si>
  <si>
    <t>= % change in auto mode share * workers per 10,000 sq. ft. * D3</t>
  </si>
  <si>
    <t>TCRP Report 95 Chapter 18</t>
  </si>
  <si>
    <t>Kuzmyak, J.R., R. Weinberger, R. Pratt, and H. Levinson (2003). TCRP Report 95, Traveler Response to Transportation System Changes. Chapter 18: Parking Management and Supply. Transportation Research Board, Washington, D.C.</t>
  </si>
  <si>
    <t>Morrall and Bolger (1996)</t>
  </si>
  <si>
    <t>Morrall, J., and Bolger, D. (1996). “The Relationship Between Downtown Parking Supply and Transit Use.” ITE Journal Vol. 66, No. 2 (February, 1996).</t>
  </si>
  <si>
    <t>Institute of Transportation Engineers, as cited in TCRP Report 95 Chapter 18</t>
  </si>
  <si>
    <t>Estimate</t>
  </si>
  <si>
    <t>= (Baseline parking ratio - new parking ratio) * % change in auto mode share per 0.1 space reduction * 10</t>
  </si>
  <si>
    <t>= Change in VMT * A / 1000000</t>
  </si>
  <si>
    <t>Lund, Cervero, and Willson (2003)</t>
  </si>
  <si>
    <t>Lund, H. M., Cervero, R., and Willson, R. W. (2004). Travel Characteristics of Transit-Oriented Development in California. Prepared by Project Team Members from Cal Poly Pomona, UC Berkeley, and San Francisco Bay Area Rapid Transit under a Caltrans “Statewide Planning Studies” Transportation Grant, Sacramento, CA. Cited in TCRP Report 95 Chapter 17.</t>
  </si>
  <si>
    <t>TCRP Report 95 Chapter 17</t>
  </si>
  <si>
    <t>Evans, J., R. Pratt, A. Stryker, and J.R. Kuzmyak (2004). TCRP Report 95, Traveler Response to Transportation System Changes. Chapter 17: Transit-Oriented Development. Transportation Research Board, Washington, D.C.</t>
  </si>
  <si>
    <t>Estimates based on Morrall &amp; Bolger (1996) and Lund, Cervero, &amp; Willson (2004)</t>
  </si>
  <si>
    <t>COMERCIAL PARKING DATA</t>
  </si>
  <si>
    <t>CBD Data</t>
  </si>
  <si>
    <t>City</t>
  </si>
  <si>
    <t>parking spaces per 1,000 sq f.t</t>
  </si>
  <si>
    <t>AM Peak transit share</t>
  </si>
  <si>
    <t>Saskatoon</t>
  </si>
  <si>
    <t>Edmonton</t>
  </si>
  <si>
    <t>Calgary</t>
  </si>
  <si>
    <t>Montreal</t>
  </si>
  <si>
    <t>Winnipeg</t>
  </si>
  <si>
    <t>Toronto</t>
  </si>
  <si>
    <t>Ottawa</t>
  </si>
  <si>
    <t>% change per 0.1 spc/ksf</t>
  </si>
  <si>
    <t>Theoretical calculation with linear scaling:</t>
  </si>
  <si>
    <t>ratio</t>
  </si>
  <si>
    <t>relative auto MS</t>
  </si>
  <si>
    <t>auto MS change</t>
  </si>
  <si>
    <t>Points per program $1,000</t>
  </si>
  <si>
    <t>= 1000 * B1 * D2</t>
  </si>
  <si>
    <t>OPERATIONAL STRATEGIES</t>
  </si>
  <si>
    <t>MD/HD STRATEGIES</t>
  </si>
  <si>
    <t xml:space="preserve">New/increased fixed-route bus service </t>
  </si>
  <si>
    <t>Per</t>
  </si>
  <si>
    <t>Non-Central Business District, max 2.5 spaces/1,000 sq. ft.</t>
  </si>
  <si>
    <t>Non-Central Business District, max 2.0 spaces/1,000 sq. ft.</t>
  </si>
  <si>
    <t>Central Business District, max 1.5 spaces/1,000 sq. ft.</t>
  </si>
  <si>
    <t>Central Business District, max 1.0 spaces/1,000 sq. ft.</t>
  </si>
  <si>
    <t>M</t>
  </si>
  <si>
    <t>CO</t>
  </si>
  <si>
    <t>Nox</t>
  </si>
  <si>
    <t>PM 2.5</t>
  </si>
  <si>
    <t>SO2</t>
  </si>
  <si>
    <t>VOCs</t>
  </si>
  <si>
    <t>gram co-pollutants per vehicle-mile</t>
  </si>
  <si>
    <t>grams of pollutants per vehicle-mile (auto)</t>
  </si>
  <si>
    <t>Fixed Route g CO2/veh-mi</t>
  </si>
  <si>
    <t>Phase in</t>
  </si>
  <si>
    <t>Select electric bus phase in deadline: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</si>
</sst>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0.0"/>
    <numFmt numFmtId="165" formatCode="_(* #,##0.0_);_(* \(#,##0.0\);_(* &quot;-&quot;??_);_(@_)"/>
    <numFmt numFmtId="166" formatCode="_(* #,##0_);_(* \(#,##0\);_(* &quot;-&quot;??_);_(@_)"/>
    <numFmt numFmtId="167" formatCode="_(* #,##0_);_(* \(#,##0\);_(* &quot;-&quot;?_);_(@_)"/>
    <numFmt numFmtId="168" formatCode="0.0%"/>
    <numFmt numFmtId="169" formatCode="_(&quot;$&quot;* #,##0_);_(&quot;$&quot;* \(#,##0\);_(&quot;$&quot;* &quot;-&quot;??_);_(@_)"/>
    <numFmt numFmtId="170" formatCode="0.00000"/>
    <numFmt numFmtId="171" formatCode="#,##0.00000"/>
    <numFmt numFmtId="172" formatCode="#,##0.00000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u/>
      <sz val="11"/>
      <color theme="10"/>
      <name val="Calibri"/>
      <family val="2"/>
      <scheme val="minor"/>
    </font>
    <font>
      <sz val="11"/>
      <color theme="4" tint="-0.249977111117893"/>
      <name val="Calibri"/>
      <family val="2"/>
      <scheme val="minor"/>
    </font>
    <font>
      <sz val="9"/>
      <color indexed="81"/>
      <name val="Tahoma"/>
      <family val="2"/>
    </font>
    <font>
      <b/>
      <sz val="9"/>
      <color indexed="81"/>
      <name val="Tahoma"/>
      <family val="2"/>
    </font>
    <font>
      <b/>
      <sz val="11"/>
      <color theme="0"/>
      <name val="Calibri"/>
      <family val="2"/>
      <scheme val="minor"/>
    </font>
    <font>
      <sz val="11"/>
      <color theme="0"/>
      <name val="Calibri"/>
      <family val="2"/>
      <scheme val="minor"/>
    </font>
    <font>
      <sz val="11"/>
      <name val="Calibri"/>
      <family val="2"/>
      <scheme val="minor"/>
    </font>
    <font>
      <b/>
      <sz val="11"/>
      <color rgb="FFFF0000"/>
      <name val="Calibri"/>
      <family val="2"/>
      <scheme val="minor"/>
    </font>
    <font>
      <sz val="11"/>
      <color theme="0" tint="-0.499984740745262"/>
      <name val="Calibri"/>
      <family val="2"/>
      <scheme val="minor"/>
    </font>
    <font>
      <b/>
      <sz val="11"/>
      <color theme="0" tint="-0.499984740745262"/>
      <name val="Calibri"/>
      <family val="2"/>
      <scheme val="minor"/>
    </font>
    <font>
      <b/>
      <sz val="11"/>
      <name val="Calibri"/>
      <family val="2"/>
      <scheme val="minor"/>
    </font>
    <font>
      <b/>
      <sz val="11"/>
      <color theme="1" tint="0.499984740745262"/>
      <name val="Calibri"/>
      <family val="2"/>
      <scheme val="minor"/>
    </font>
    <font>
      <sz val="11"/>
      <color theme="1" tint="0.499984740745262"/>
      <name val="Calibri"/>
      <family val="2"/>
      <scheme val="minor"/>
    </font>
    <font>
      <sz val="11"/>
      <color rgb="FFFF0000"/>
      <name val="Calibri"/>
      <family val="2"/>
      <scheme val="minor"/>
    </font>
    <font>
      <i/>
      <sz val="11"/>
      <color theme="1"/>
      <name val="Calibri"/>
      <family val="2"/>
      <scheme val="minor"/>
    </font>
    <font>
      <sz val="11"/>
      <color rgb="FFFF0000"/>
      <name val="Calibri"/>
      <family val="2"/>
    </font>
    <font>
      <sz val="9"/>
      <color rgb="FF202124"/>
      <name val="Roboto"/>
    </font>
    <font>
      <u/>
      <sz val="11"/>
      <color theme="1"/>
      <name val="Calibri"/>
      <family val="2"/>
      <scheme val="minor"/>
    </font>
    <font>
      <sz val="11"/>
      <color theme="5"/>
      <name val="Calibri"/>
      <family val="2"/>
      <scheme val="minor"/>
    </font>
    <font>
      <b/>
      <sz val="11"/>
      <color theme="1"/>
      <name val="Calibri"/>
      <family val="2"/>
    </font>
    <font>
      <b/>
      <sz val="11"/>
      <color rgb="FF000000"/>
      <name val="Calibri"/>
      <family val="2"/>
      <scheme val="minor"/>
    </font>
    <font>
      <sz val="11"/>
      <color rgb="FF000000"/>
      <name val="Calibri"/>
      <family val="2"/>
      <scheme val="minor"/>
    </font>
    <font>
      <b/>
      <u/>
      <sz val="11"/>
      <color theme="1"/>
      <name val="Calibri"/>
      <family val="2"/>
      <scheme val="minor"/>
    </font>
  </fonts>
  <fills count="13">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5"/>
        <bgColor indexed="64"/>
      </patternFill>
    </fill>
    <fill>
      <patternFill patternType="solid">
        <fgColor rgb="FFFFFF99"/>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6" tint="0.79998168889431442"/>
        <bgColor indexed="64"/>
      </patternFill>
    </fill>
  </fills>
  <borders count="10">
    <border>
      <left/>
      <right/>
      <top/>
      <bottom/>
      <diagonal/>
    </border>
    <border>
      <left/>
      <right/>
      <top/>
      <bottom style="thick">
        <color auto="1"/>
      </bottom>
      <diagonal/>
    </border>
    <border>
      <left/>
      <right/>
      <top style="thick">
        <color auto="1"/>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style="hair">
        <color theme="0"/>
      </left>
      <right style="hair">
        <color theme="0"/>
      </right>
      <top style="hair">
        <color theme="0"/>
      </top>
      <bottom style="hair">
        <color theme="0"/>
      </bottom>
      <diagonal/>
    </border>
    <border>
      <left style="hair">
        <color theme="0"/>
      </left>
      <right style="hair">
        <color theme="0"/>
      </right>
      <top/>
      <bottom style="hair">
        <color theme="0"/>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cellStyleXfs>
  <cellXfs count="204">
    <xf numFmtId="0" fontId="0" fillId="0" borderId="0" xfId="0"/>
    <xf numFmtId="0" fontId="2" fillId="0" borderId="0" xfId="0" applyFont="1"/>
    <xf numFmtId="0" fontId="0" fillId="0" borderId="0" xfId="0" applyAlignment="1">
      <alignment wrapText="1"/>
    </xf>
    <xf numFmtId="0" fontId="0" fillId="0" borderId="0" xfId="0" applyAlignment="1">
      <alignment vertical="top"/>
    </xf>
    <xf numFmtId="164" fontId="0" fillId="0" borderId="0" xfId="0" applyNumberFormat="1" applyAlignment="1">
      <alignment vertical="top"/>
    </xf>
    <xf numFmtId="164" fontId="0" fillId="2" borderId="0" xfId="0" applyNumberFormat="1" applyFill="1" applyAlignment="1">
      <alignment vertical="top"/>
    </xf>
    <xf numFmtId="0" fontId="0" fillId="0" borderId="0" xfId="0" applyAlignment="1">
      <alignment vertical="top" wrapText="1"/>
    </xf>
    <xf numFmtId="166" fontId="0" fillId="0" borderId="0" xfId="1" applyNumberFormat="1" applyFont="1" applyAlignment="1">
      <alignment vertical="top"/>
    </xf>
    <xf numFmtId="9" fontId="0" fillId="0" borderId="0" xfId="0" applyNumberFormat="1" applyAlignment="1">
      <alignment vertical="top"/>
    </xf>
    <xf numFmtId="9" fontId="0" fillId="2" borderId="0" xfId="2" applyFont="1" applyFill="1" applyAlignment="1">
      <alignment vertical="top"/>
    </xf>
    <xf numFmtId="165" fontId="0" fillId="0" borderId="0" xfId="0" applyNumberFormat="1" applyAlignment="1">
      <alignment vertical="top"/>
    </xf>
    <xf numFmtId="165" fontId="0" fillId="0" borderId="0" xfId="1" applyNumberFormat="1" applyFont="1" applyAlignment="1">
      <alignment vertical="top"/>
    </xf>
    <xf numFmtId="166" fontId="0" fillId="3" borderId="0" xfId="0" applyNumberFormat="1" applyFill="1" applyAlignment="1">
      <alignment vertical="top"/>
    </xf>
    <xf numFmtId="0" fontId="2" fillId="0" borderId="1" xfId="0" applyFont="1" applyBorder="1"/>
    <xf numFmtId="0" fontId="2" fillId="4" borderId="2" xfId="0" applyFont="1" applyFill="1" applyBorder="1"/>
    <xf numFmtId="0" fontId="0" fillId="4" borderId="2" xfId="0" applyFill="1" applyBorder="1"/>
    <xf numFmtId="0" fontId="0" fillId="4" borderId="2" xfId="0" applyFill="1" applyBorder="1" applyAlignment="1">
      <alignment wrapText="1"/>
    </xf>
    <xf numFmtId="0" fontId="2" fillId="0" borderId="0" xfId="0" applyFont="1" applyAlignment="1">
      <alignment wrapText="1"/>
    </xf>
    <xf numFmtId="0" fontId="2" fillId="4" borderId="2" xfId="0" applyFont="1" applyFill="1" applyBorder="1" applyAlignment="1">
      <alignment wrapText="1"/>
    </xf>
    <xf numFmtId="0" fontId="0" fillId="3" borderId="0" xfId="0" applyFill="1" applyAlignment="1">
      <alignment horizontal="left" vertical="top" wrapText="1"/>
    </xf>
    <xf numFmtId="0" fontId="0" fillId="0" borderId="0" xfId="0" applyAlignment="1">
      <alignment horizontal="left" vertical="top" wrapText="1" indent="1"/>
    </xf>
    <xf numFmtId="164" fontId="5" fillId="0" borderId="0" xfId="0" applyNumberFormat="1" applyFont="1" applyAlignment="1">
      <alignment vertical="top"/>
    </xf>
    <xf numFmtId="0" fontId="5" fillId="0" borderId="0" xfId="0" applyFont="1"/>
    <xf numFmtId="0" fontId="0" fillId="5" borderId="0" xfId="0" applyFill="1"/>
    <xf numFmtId="0" fontId="0" fillId="3" borderId="0" xfId="0" applyFill="1"/>
    <xf numFmtId="0" fontId="0" fillId="0" borderId="0" xfId="0" applyAlignment="1">
      <alignment horizontal="left" vertical="top" wrapText="1"/>
    </xf>
    <xf numFmtId="1" fontId="0" fillId="0" borderId="0" xfId="0" applyNumberFormat="1"/>
    <xf numFmtId="1" fontId="0" fillId="2" borderId="0" xfId="0" applyNumberFormat="1" applyFill="1" applyAlignment="1">
      <alignment vertical="top"/>
    </xf>
    <xf numFmtId="0" fontId="8" fillId="6" borderId="2" xfId="0" applyFont="1" applyFill="1" applyBorder="1"/>
    <xf numFmtId="0" fontId="9" fillId="6" borderId="2" xfId="0" applyFont="1" applyFill="1" applyBorder="1"/>
    <xf numFmtId="0" fontId="9" fillId="6" borderId="2" xfId="0" applyFont="1" applyFill="1" applyBorder="1" applyAlignment="1">
      <alignment wrapText="1"/>
    </xf>
    <xf numFmtId="0" fontId="8" fillId="6" borderId="2" xfId="0" applyFont="1" applyFill="1" applyBorder="1" applyAlignment="1">
      <alignment wrapText="1"/>
    </xf>
    <xf numFmtId="166" fontId="10" fillId="0" borderId="0" xfId="1" applyNumberFormat="1" applyFont="1" applyAlignment="1">
      <alignment vertical="top"/>
    </xf>
    <xf numFmtId="166" fontId="10" fillId="0" borderId="0" xfId="0" applyNumberFormat="1" applyFont="1" applyAlignment="1">
      <alignment vertical="top"/>
    </xf>
    <xf numFmtId="0" fontId="0" fillId="0" borderId="0" xfId="0" quotePrefix="1" applyAlignment="1">
      <alignment vertical="top" wrapText="1"/>
    </xf>
    <xf numFmtId="0" fontId="2" fillId="0" borderId="0" xfId="0" applyFont="1" applyAlignment="1">
      <alignment vertical="top"/>
    </xf>
    <xf numFmtId="0" fontId="2" fillId="4" borderId="2" xfId="0" applyFont="1" applyFill="1" applyBorder="1" applyAlignment="1">
      <alignment vertical="top"/>
    </xf>
    <xf numFmtId="0" fontId="0" fillId="0" borderId="0" xfId="0" quotePrefix="1" applyAlignment="1">
      <alignment wrapText="1"/>
    </xf>
    <xf numFmtId="0" fontId="0" fillId="7" borderId="0" xfId="0" applyFill="1" applyAlignment="1">
      <alignment vertical="top"/>
    </xf>
    <xf numFmtId="0" fontId="0" fillId="7" borderId="0" xfId="0" applyFill="1" applyAlignment="1">
      <alignment vertical="top" wrapText="1"/>
    </xf>
    <xf numFmtId="0" fontId="2" fillId="7" borderId="0" xfId="0" applyFont="1" applyFill="1"/>
    <xf numFmtId="0" fontId="0" fillId="7" borderId="0" xfId="0" applyFill="1" applyAlignment="1">
      <alignment wrapText="1"/>
    </xf>
    <xf numFmtId="0" fontId="0" fillId="7" borderId="0" xfId="0" applyFill="1"/>
    <xf numFmtId="0" fontId="3" fillId="0" borderId="0" xfId="0" applyFont="1" applyAlignment="1">
      <alignment horizontal="left" vertical="center" wrapText="1"/>
    </xf>
    <xf numFmtId="0" fontId="2" fillId="4" borderId="2" xfId="0" applyFont="1" applyFill="1" applyBorder="1" applyAlignment="1">
      <alignment horizontal="center" vertical="top" wrapText="1"/>
    </xf>
    <xf numFmtId="0" fontId="3" fillId="0" borderId="3" xfId="0" applyFont="1" applyBorder="1" applyAlignment="1">
      <alignment horizontal="left" vertical="center" wrapText="1"/>
    </xf>
    <xf numFmtId="0" fontId="0" fillId="0" borderId="3" xfId="0" applyBorder="1"/>
    <xf numFmtId="0" fontId="0" fillId="0" borderId="3" xfId="0" applyBorder="1" applyAlignment="1">
      <alignment wrapText="1"/>
    </xf>
    <xf numFmtId="165" fontId="0" fillId="0" borderId="0" xfId="0" applyNumberFormat="1"/>
    <xf numFmtId="0" fontId="0" fillId="0" borderId="0" xfId="0" quotePrefix="1"/>
    <xf numFmtId="0" fontId="2" fillId="4" borderId="5" xfId="0" applyFont="1" applyFill="1" applyBorder="1" applyAlignment="1">
      <alignment wrapText="1"/>
    </xf>
    <xf numFmtId="0" fontId="2" fillId="4" borderId="5" xfId="0" applyFont="1" applyFill="1" applyBorder="1"/>
    <xf numFmtId="166" fontId="0" fillId="3" borderId="0" xfId="0" applyNumberFormat="1" applyFill="1"/>
    <xf numFmtId="166" fontId="0" fillId="3" borderId="3" xfId="0" applyNumberFormat="1" applyFill="1" applyBorder="1"/>
    <xf numFmtId="0" fontId="2" fillId="4" borderId="5" xfId="0" applyFont="1" applyFill="1" applyBorder="1" applyAlignment="1">
      <alignment horizontal="left" vertical="top"/>
    </xf>
    <xf numFmtId="0" fontId="0" fillId="0" borderId="0" xfId="0" applyAlignment="1">
      <alignment horizontal="left" vertical="top" indent="1"/>
    </xf>
    <xf numFmtId="166" fontId="0" fillId="2" borderId="0" xfId="1" applyNumberFormat="1" applyFont="1" applyFill="1" applyAlignment="1">
      <alignment vertical="top"/>
    </xf>
    <xf numFmtId="2" fontId="0" fillId="2" borderId="0" xfId="0" applyNumberFormat="1" applyFill="1" applyAlignment="1">
      <alignment vertical="top"/>
    </xf>
    <xf numFmtId="0" fontId="3" fillId="0" borderId="0" xfId="0" applyFont="1" applyAlignment="1">
      <alignment horizontal="left" vertical="top" wrapText="1"/>
    </xf>
    <xf numFmtId="9" fontId="0" fillId="0" borderId="0" xfId="2" applyFont="1" applyAlignment="1">
      <alignment vertical="top"/>
    </xf>
    <xf numFmtId="166" fontId="0" fillId="0" borderId="0" xfId="0" applyNumberFormat="1" applyAlignment="1">
      <alignment vertical="top"/>
    </xf>
    <xf numFmtId="166" fontId="0" fillId="0" borderId="0" xfId="1" applyNumberFormat="1" applyFont="1" applyFill="1" applyAlignment="1">
      <alignment vertical="top"/>
    </xf>
    <xf numFmtId="0" fontId="12" fillId="0" borderId="0" xfId="0" applyFont="1"/>
    <xf numFmtId="168" fontId="12" fillId="0" borderId="0" xfId="0" applyNumberFormat="1" applyFont="1"/>
    <xf numFmtId="168" fontId="12" fillId="0" borderId="0" xfId="2" applyNumberFormat="1" applyFont="1"/>
    <xf numFmtId="0" fontId="13" fillId="0" borderId="0" xfId="0" applyFont="1"/>
    <xf numFmtId="0" fontId="2" fillId="0" borderId="0" xfId="0" applyFont="1" applyAlignment="1">
      <alignment vertical="top" wrapText="1"/>
    </xf>
    <xf numFmtId="166" fontId="0" fillId="4" borderId="0" xfId="1" applyNumberFormat="1" applyFont="1" applyFill="1" applyAlignment="1">
      <alignment vertical="top"/>
    </xf>
    <xf numFmtId="0" fontId="0" fillId="0" borderId="0" xfId="0" applyAlignment="1">
      <alignment horizontal="left" wrapText="1" indent="1"/>
    </xf>
    <xf numFmtId="166" fontId="0" fillId="0" borderId="0" xfId="1" applyNumberFormat="1" applyFont="1"/>
    <xf numFmtId="9" fontId="0" fillId="0" borderId="0" xfId="2" applyFont="1" applyFill="1" applyAlignment="1">
      <alignment vertical="top"/>
    </xf>
    <xf numFmtId="0" fontId="14" fillId="4" borderId="2" xfId="0" applyFont="1" applyFill="1" applyBorder="1" applyAlignment="1">
      <alignment wrapText="1"/>
    </xf>
    <xf numFmtId="0" fontId="15" fillId="6" borderId="2" xfId="0" applyFont="1" applyFill="1" applyBorder="1"/>
    <xf numFmtId="0" fontId="16" fillId="0" borderId="0" xfId="0" applyFont="1" applyAlignment="1">
      <alignment wrapText="1"/>
    </xf>
    <xf numFmtId="0" fontId="15" fillId="0" borderId="0" xfId="0" applyFont="1" applyAlignment="1">
      <alignment wrapText="1"/>
    </xf>
    <xf numFmtId="0" fontId="15" fillId="4" borderId="2" xfId="0" applyFont="1" applyFill="1" applyBorder="1"/>
    <xf numFmtId="0" fontId="16" fillId="7" borderId="0" xfId="0" applyFont="1" applyFill="1" applyAlignment="1">
      <alignment vertical="top" wrapText="1"/>
    </xf>
    <xf numFmtId="0" fontId="16" fillId="0" borderId="0" xfId="0" applyFont="1" applyAlignment="1">
      <alignment horizontal="left" vertical="top" wrapText="1" indent="1"/>
    </xf>
    <xf numFmtId="166" fontId="16" fillId="0" borderId="0" xfId="1" applyNumberFormat="1" applyFont="1" applyAlignment="1">
      <alignment vertical="top"/>
    </xf>
    <xf numFmtId="166" fontId="16" fillId="0" borderId="0" xfId="0" applyNumberFormat="1" applyFont="1"/>
    <xf numFmtId="0" fontId="16" fillId="0" borderId="0" xfId="0" applyFont="1" applyAlignment="1">
      <alignment vertical="top" wrapText="1"/>
    </xf>
    <xf numFmtId="0" fontId="16" fillId="0" borderId="0" xfId="0" applyFont="1" applyAlignment="1">
      <alignment horizontal="left" vertical="top" wrapText="1"/>
    </xf>
    <xf numFmtId="0" fontId="16" fillId="3" borderId="0" xfId="0" applyFont="1" applyFill="1" applyAlignment="1">
      <alignment horizontal="left" vertical="top" wrapText="1"/>
    </xf>
    <xf numFmtId="164" fontId="0" fillId="0" borderId="0" xfId="0" applyNumberFormat="1"/>
    <xf numFmtId="0" fontId="0" fillId="0" borderId="3" xfId="0" applyBorder="1" applyAlignment="1">
      <alignment horizontal="left" vertical="top" wrapText="1"/>
    </xf>
    <xf numFmtId="166" fontId="0" fillId="3" borderId="6" xfId="0" applyNumberFormat="1" applyFill="1" applyBorder="1"/>
    <xf numFmtId="0" fontId="2" fillId="4" borderId="4" xfId="0" applyFont="1" applyFill="1" applyBorder="1" applyAlignment="1">
      <alignment wrapText="1"/>
    </xf>
    <xf numFmtId="0" fontId="2" fillId="4" borderId="4" xfId="0" applyFont="1" applyFill="1" applyBorder="1"/>
    <xf numFmtId="0" fontId="3" fillId="0" borderId="0" xfId="0" applyFont="1" applyAlignment="1">
      <alignment horizontal="left" vertical="top" wrapText="1" indent="1"/>
    </xf>
    <xf numFmtId="0" fontId="19" fillId="0" borderId="0" xfId="0" applyFont="1" applyAlignment="1">
      <alignment horizontal="left" vertical="top" wrapText="1"/>
    </xf>
    <xf numFmtId="0" fontId="17" fillId="3" borderId="0" xfId="0" applyFont="1" applyFill="1" applyAlignment="1">
      <alignment horizontal="left" vertical="top" wrapText="1"/>
    </xf>
    <xf numFmtId="0" fontId="2" fillId="7" borderId="0" xfId="0" applyFont="1" applyFill="1" applyAlignment="1">
      <alignment vertical="top"/>
    </xf>
    <xf numFmtId="1" fontId="0" fillId="0" borderId="0" xfId="0" applyNumberFormat="1" applyAlignment="1">
      <alignment vertical="top"/>
    </xf>
    <xf numFmtId="0" fontId="0" fillId="4" borderId="2" xfId="0" applyFill="1" applyBorder="1" applyAlignment="1">
      <alignment vertical="top"/>
    </xf>
    <xf numFmtId="167" fontId="0" fillId="3" borderId="0" xfId="0" applyNumberFormat="1" applyFill="1" applyAlignment="1">
      <alignment vertical="top"/>
    </xf>
    <xf numFmtId="0" fontId="2" fillId="0" borderId="0" xfId="0" applyFont="1" applyAlignment="1">
      <alignment horizontal="centerContinuous"/>
    </xf>
    <xf numFmtId="0" fontId="0" fillId="4" borderId="2" xfId="0" applyFill="1" applyBorder="1" applyAlignment="1">
      <alignment vertical="top" wrapText="1"/>
    </xf>
    <xf numFmtId="43" fontId="0" fillId="0" borderId="0" xfId="1" applyFont="1" applyAlignment="1">
      <alignment vertical="top"/>
    </xf>
    <xf numFmtId="0" fontId="2" fillId="4" borderId="2" xfId="0" applyFont="1" applyFill="1" applyBorder="1" applyAlignment="1">
      <alignment vertical="top" wrapText="1"/>
    </xf>
    <xf numFmtId="0" fontId="2" fillId="4" borderId="5" xfId="0" applyFont="1" applyFill="1" applyBorder="1" applyAlignment="1">
      <alignment vertical="top"/>
    </xf>
    <xf numFmtId="0" fontId="2" fillId="4" borderId="5" xfId="0" applyFont="1" applyFill="1" applyBorder="1" applyAlignment="1">
      <alignment vertical="top" wrapText="1"/>
    </xf>
    <xf numFmtId="0" fontId="11" fillId="4" borderId="5" xfId="0" applyFont="1" applyFill="1" applyBorder="1" applyAlignment="1">
      <alignment vertical="top" wrapText="1"/>
    </xf>
    <xf numFmtId="0" fontId="17" fillId="0" borderId="0" xfId="0" applyFont="1" applyAlignment="1">
      <alignment vertical="top" wrapText="1"/>
    </xf>
    <xf numFmtId="0" fontId="2" fillId="0" borderId="1" xfId="0" applyFont="1" applyBorder="1" applyAlignment="1">
      <alignment vertical="top" wrapText="1"/>
    </xf>
    <xf numFmtId="166" fontId="0" fillId="0" borderId="0" xfId="1" applyNumberFormat="1" applyFont="1" applyAlignment="1">
      <alignment vertical="top" wrapText="1"/>
    </xf>
    <xf numFmtId="164" fontId="0" fillId="0" borderId="0" xfId="0" applyNumberFormat="1" applyAlignment="1">
      <alignment vertical="top" wrapText="1"/>
    </xf>
    <xf numFmtId="164" fontId="0" fillId="2" borderId="0" xfId="0" applyNumberFormat="1" applyFill="1" applyAlignment="1">
      <alignment vertical="top" wrapText="1"/>
    </xf>
    <xf numFmtId="1" fontId="0" fillId="0" borderId="0" xfId="0" applyNumberFormat="1" applyAlignment="1">
      <alignment vertical="top" wrapText="1"/>
    </xf>
    <xf numFmtId="1" fontId="0" fillId="2" borderId="0" xfId="0" applyNumberFormat="1" applyFill="1" applyAlignment="1">
      <alignment vertical="top" wrapText="1"/>
    </xf>
    <xf numFmtId="166" fontId="1" fillId="0" borderId="0" xfId="1" applyNumberFormat="1" applyFont="1" applyBorder="1" applyAlignment="1">
      <alignment vertical="top" wrapText="1"/>
    </xf>
    <xf numFmtId="0" fontId="2" fillId="4" borderId="5" xfId="0" applyFont="1" applyFill="1" applyBorder="1" applyAlignment="1">
      <alignment horizontal="left" vertical="top" wrapText="1"/>
    </xf>
    <xf numFmtId="2" fontId="0" fillId="0" borderId="0" xfId="0" applyNumberFormat="1" applyAlignment="1">
      <alignment vertical="top" wrapText="1"/>
    </xf>
    <xf numFmtId="2" fontId="0" fillId="2" borderId="0" xfId="0" applyNumberFormat="1" applyFill="1" applyAlignment="1">
      <alignment vertical="top" wrapText="1"/>
    </xf>
    <xf numFmtId="44" fontId="0" fillId="0" borderId="0" xfId="4" applyFont="1" applyFill="1" applyAlignment="1">
      <alignment vertical="top" wrapText="1"/>
    </xf>
    <xf numFmtId="44" fontId="0" fillId="2" borderId="0" xfId="4" applyFont="1" applyFill="1" applyAlignment="1">
      <alignment vertical="top" wrapText="1"/>
    </xf>
    <xf numFmtId="165" fontId="0" fillId="0" borderId="0" xfId="0" applyNumberFormat="1" applyAlignment="1">
      <alignment vertical="top" wrapText="1"/>
    </xf>
    <xf numFmtId="44" fontId="0" fillId="0" borderId="0" xfId="4" applyFont="1" applyAlignment="1">
      <alignment vertical="top" wrapText="1"/>
    </xf>
    <xf numFmtId="9" fontId="0" fillId="0" borderId="0" xfId="4" applyNumberFormat="1" applyFont="1" applyFill="1" applyAlignment="1">
      <alignment vertical="top" wrapText="1"/>
    </xf>
    <xf numFmtId="9" fontId="0" fillId="0" borderId="0" xfId="2" applyFont="1" applyAlignment="1">
      <alignment vertical="top" wrapText="1"/>
    </xf>
    <xf numFmtId="164" fontId="0" fillId="0" borderId="0" xfId="2" applyNumberFormat="1" applyFont="1" applyAlignment="1">
      <alignment vertical="top" wrapText="1"/>
    </xf>
    <xf numFmtId="166" fontId="0" fillId="0" borderId="0" xfId="0" applyNumberFormat="1" applyAlignment="1">
      <alignment vertical="top" wrapText="1"/>
    </xf>
    <xf numFmtId="166" fontId="0" fillId="2" borderId="0" xfId="0" applyNumberFormat="1" applyFill="1" applyAlignment="1">
      <alignment vertical="top" wrapText="1"/>
    </xf>
    <xf numFmtId="166" fontId="0" fillId="3" borderId="0" xfId="0" applyNumberFormat="1" applyFill="1" applyAlignment="1">
      <alignment vertical="top" wrapText="1"/>
    </xf>
    <xf numFmtId="169" fontId="0" fillId="0" borderId="0" xfId="4" applyNumberFormat="1" applyFont="1" applyAlignment="1">
      <alignment vertical="top" wrapText="1"/>
    </xf>
    <xf numFmtId="169" fontId="0" fillId="0" borderId="0" xfId="4" applyNumberFormat="1" applyFont="1" applyFill="1" applyAlignment="1">
      <alignment vertical="top" wrapText="1"/>
    </xf>
    <xf numFmtId="43" fontId="0" fillId="0" borderId="0" xfId="1" applyFont="1" applyAlignment="1">
      <alignment vertical="top" wrapText="1"/>
    </xf>
    <xf numFmtId="168" fontId="0" fillId="0" borderId="0" xfId="4" applyNumberFormat="1" applyFont="1" applyFill="1" applyAlignment="1">
      <alignment vertical="top" wrapText="1"/>
    </xf>
    <xf numFmtId="0" fontId="18" fillId="0" borderId="0" xfId="0" quotePrefix="1" applyFont="1" applyAlignment="1">
      <alignment vertical="top" wrapText="1"/>
    </xf>
    <xf numFmtId="0" fontId="11" fillId="4" borderId="5" xfId="0" applyFont="1" applyFill="1" applyBorder="1" applyAlignment="1">
      <alignment horizontal="left" vertical="top" wrapText="1"/>
    </xf>
    <xf numFmtId="9" fontId="17" fillId="0" borderId="0" xfId="0" applyNumberFormat="1" applyFont="1" applyAlignment="1">
      <alignment vertical="top" wrapText="1"/>
    </xf>
    <xf numFmtId="166" fontId="17" fillId="0" borderId="0" xfId="0" applyNumberFormat="1" applyFont="1" applyAlignment="1">
      <alignment vertical="top" wrapText="1"/>
    </xf>
    <xf numFmtId="0" fontId="17" fillId="0" borderId="0" xfId="0" quotePrefix="1" applyFont="1" applyAlignment="1">
      <alignment vertical="top" wrapText="1"/>
    </xf>
    <xf numFmtId="166" fontId="17" fillId="2" borderId="0" xfId="0" applyNumberFormat="1" applyFont="1" applyFill="1" applyAlignment="1">
      <alignment vertical="top" wrapText="1"/>
    </xf>
    <xf numFmtId="165" fontId="17" fillId="0" borderId="0" xfId="0" applyNumberFormat="1" applyFont="1" applyAlignment="1">
      <alignment vertical="top" wrapText="1"/>
    </xf>
    <xf numFmtId="166" fontId="17" fillId="3" borderId="0" xfId="0" applyNumberFormat="1" applyFont="1" applyFill="1" applyAlignment="1">
      <alignment vertical="top" wrapText="1"/>
    </xf>
    <xf numFmtId="0" fontId="3" fillId="0" borderId="0" xfId="0" applyFont="1" applyAlignment="1">
      <alignment horizontal="left" vertical="top"/>
    </xf>
    <xf numFmtId="166" fontId="0" fillId="5" borderId="0" xfId="1" applyNumberFormat="1" applyFont="1" applyFill="1" applyAlignment="1">
      <alignment vertical="top"/>
    </xf>
    <xf numFmtId="9" fontId="0" fillId="0" borderId="0" xfId="0" applyNumberFormat="1"/>
    <xf numFmtId="0" fontId="20" fillId="0" borderId="0" xfId="0" applyFont="1"/>
    <xf numFmtId="164" fontId="0" fillId="0" borderId="0" xfId="0" applyNumberFormat="1" applyAlignment="1">
      <alignment wrapText="1"/>
    </xf>
    <xf numFmtId="166" fontId="1" fillId="0" borderId="0" xfId="1" applyNumberFormat="1" applyFont="1" applyFill="1"/>
    <xf numFmtId="0" fontId="0" fillId="0" borderId="0" xfId="0" applyAlignment="1">
      <alignment horizontal="left"/>
    </xf>
    <xf numFmtId="166" fontId="0" fillId="0" borderId="0" xfId="0" applyNumberFormat="1"/>
    <xf numFmtId="2" fontId="0" fillId="0" borderId="0" xfId="0" applyNumberFormat="1"/>
    <xf numFmtId="2" fontId="0" fillId="0" borderId="0" xfId="0" applyNumberFormat="1" applyAlignment="1">
      <alignment horizontal="right"/>
    </xf>
    <xf numFmtId="0" fontId="21" fillId="0" borderId="0" xfId="0" applyFont="1" applyAlignment="1">
      <alignment horizontal="center" wrapText="1"/>
    </xf>
    <xf numFmtId="164" fontId="0" fillId="0" borderId="0" xfId="4" applyNumberFormat="1" applyFont="1" applyAlignment="1">
      <alignment vertical="top" wrapText="1"/>
    </xf>
    <xf numFmtId="166" fontId="0" fillId="0" borderId="0" xfId="0" applyNumberFormat="1" applyAlignment="1">
      <alignment horizontal="left" vertical="top" wrapText="1"/>
    </xf>
    <xf numFmtId="43" fontId="0" fillId="0" borderId="0" xfId="0" applyNumberFormat="1" applyAlignment="1">
      <alignment vertical="top" wrapText="1"/>
    </xf>
    <xf numFmtId="43" fontId="0" fillId="0" borderId="0" xfId="0" applyNumberFormat="1" applyAlignment="1">
      <alignment vertical="top"/>
    </xf>
    <xf numFmtId="0" fontId="0" fillId="8" borderId="0" xfId="0" applyFill="1" applyAlignment="1">
      <alignment vertical="top" wrapText="1"/>
    </xf>
    <xf numFmtId="165" fontId="0" fillId="0" borderId="3" xfId="0" applyNumberFormat="1" applyBorder="1"/>
    <xf numFmtId="166" fontId="0" fillId="0" borderId="0" xfId="1" applyNumberFormat="1" applyFont="1" applyFill="1"/>
    <xf numFmtId="166" fontId="0" fillId="0" borderId="3" xfId="1" applyNumberFormat="1" applyFont="1" applyFill="1" applyBorder="1"/>
    <xf numFmtId="1" fontId="0" fillId="0" borderId="3" xfId="0" applyNumberFormat="1" applyBorder="1"/>
    <xf numFmtId="165" fontId="0" fillId="0" borderId="0" xfId="1" applyNumberFormat="1" applyFont="1" applyFill="1" applyAlignment="1">
      <alignment vertical="top"/>
    </xf>
    <xf numFmtId="0" fontId="0" fillId="4" borderId="0" xfId="0" applyFill="1" applyAlignment="1">
      <alignment vertical="top"/>
    </xf>
    <xf numFmtId="9" fontId="0" fillId="9" borderId="7" xfId="0" applyNumberFormat="1" applyFill="1" applyBorder="1" applyAlignment="1">
      <alignment vertical="top"/>
    </xf>
    <xf numFmtId="166" fontId="0" fillId="9" borderId="8" xfId="1" applyNumberFormat="1" applyFont="1" applyFill="1" applyBorder="1" applyAlignment="1">
      <alignment vertical="top"/>
    </xf>
    <xf numFmtId="166" fontId="0" fillId="9" borderId="7" xfId="1" applyNumberFormat="1" applyFont="1" applyFill="1" applyBorder="1" applyAlignment="1">
      <alignment vertical="top"/>
    </xf>
    <xf numFmtId="166" fontId="0" fillId="0" borderId="0" xfId="1" applyNumberFormat="1" applyFont="1" applyAlignment="1">
      <alignment horizontal="left" vertical="top" indent="1"/>
    </xf>
    <xf numFmtId="0" fontId="0" fillId="9" borderId="7" xfId="0" applyFill="1" applyBorder="1" applyAlignment="1">
      <alignment horizontal="center" vertical="top"/>
    </xf>
    <xf numFmtId="0" fontId="0" fillId="0" borderId="0" xfId="0" quotePrefix="1" applyAlignment="1">
      <alignment vertical="top"/>
    </xf>
    <xf numFmtId="0" fontId="4" fillId="0" borderId="0" xfId="3"/>
    <xf numFmtId="0" fontId="4" fillId="0" borderId="0" xfId="3" applyAlignment="1">
      <alignment vertical="top" wrapText="1"/>
    </xf>
    <xf numFmtId="164" fontId="0" fillId="9" borderId="7" xfId="0" applyNumberFormat="1" applyFill="1" applyBorder="1" applyAlignment="1">
      <alignment vertical="top"/>
    </xf>
    <xf numFmtId="0" fontId="0" fillId="10" borderId="0" xfId="0" applyFill="1" applyAlignment="1">
      <alignment horizontal="left" vertical="top" wrapText="1"/>
    </xf>
    <xf numFmtId="0" fontId="18" fillId="10" borderId="0" xfId="0" quotePrefix="1" applyFont="1" applyFill="1" applyAlignment="1">
      <alignment vertical="top" wrapText="1"/>
    </xf>
    <xf numFmtId="0" fontId="3" fillId="10" borderId="0" xfId="0" applyFont="1" applyFill="1" applyAlignment="1">
      <alignment horizontal="left" vertical="top" wrapText="1" indent="1"/>
    </xf>
    <xf numFmtId="166" fontId="0" fillId="10" borderId="0" xfId="0" applyNumberFormat="1" applyFill="1" applyAlignment="1">
      <alignment vertical="top" wrapText="1"/>
    </xf>
    <xf numFmtId="168" fontId="0" fillId="0" borderId="0" xfId="2" applyNumberFormat="1" applyFont="1" applyAlignment="1">
      <alignment vertical="top" wrapText="1"/>
    </xf>
    <xf numFmtId="1" fontId="0" fillId="0" borderId="0" xfId="2" applyNumberFormat="1" applyFont="1" applyAlignment="1">
      <alignment vertical="top" wrapText="1"/>
    </xf>
    <xf numFmtId="165" fontId="0" fillId="0" borderId="0" xfId="1" applyNumberFormat="1" applyFont="1" applyAlignment="1">
      <alignment vertical="top" wrapText="1"/>
    </xf>
    <xf numFmtId="0" fontId="0" fillId="11" borderId="0" xfId="0" applyFill="1" applyAlignment="1">
      <alignment vertical="top" wrapText="1"/>
    </xf>
    <xf numFmtId="0" fontId="4" fillId="11" borderId="0" xfId="3" applyFill="1" applyAlignment="1">
      <alignment vertical="top" wrapText="1"/>
    </xf>
    <xf numFmtId="168" fontId="0" fillId="0" borderId="0" xfId="0" applyNumberFormat="1"/>
    <xf numFmtId="168" fontId="0" fillId="0" borderId="0" xfId="2" applyNumberFormat="1" applyFont="1"/>
    <xf numFmtId="0" fontId="0" fillId="0" borderId="0" xfId="0" applyAlignment="1">
      <alignment horizontal="center"/>
    </xf>
    <xf numFmtId="9" fontId="0" fillId="0" borderId="0" xfId="2" applyFont="1"/>
    <xf numFmtId="0" fontId="22" fillId="0" borderId="0" xfId="0" applyFont="1"/>
    <xf numFmtId="1" fontId="0" fillId="0" borderId="0" xfId="2" applyNumberFormat="1" applyFont="1" applyFill="1" applyAlignment="1">
      <alignment vertical="top"/>
    </xf>
    <xf numFmtId="1" fontId="0" fillId="2" borderId="0" xfId="2" applyNumberFormat="1" applyFont="1" applyFill="1" applyAlignment="1">
      <alignment vertical="top"/>
    </xf>
    <xf numFmtId="0" fontId="23" fillId="10" borderId="0" xfId="0" applyFont="1" applyFill="1" applyAlignment="1">
      <alignment horizontal="left" vertical="top" wrapText="1" indent="1"/>
    </xf>
    <xf numFmtId="165" fontId="0" fillId="3" borderId="0" xfId="0" applyNumberFormat="1" applyFill="1" applyAlignment="1">
      <alignment vertical="top"/>
    </xf>
    <xf numFmtId="0" fontId="2" fillId="10" borderId="0" xfId="0" quotePrefix="1" applyFont="1" applyFill="1" applyAlignment="1">
      <alignment vertical="top" wrapText="1"/>
    </xf>
    <xf numFmtId="166" fontId="1" fillId="0" borderId="0" xfId="1" applyNumberFormat="1" applyFont="1" applyAlignment="1">
      <alignment vertical="top"/>
    </xf>
    <xf numFmtId="166" fontId="1" fillId="0" borderId="0" xfId="1" applyNumberFormat="1" applyFont="1" applyAlignment="1">
      <alignment vertical="top" wrapText="1"/>
    </xf>
    <xf numFmtId="0" fontId="24" fillId="0" borderId="0" xfId="0" applyFont="1" applyAlignment="1">
      <alignment horizontal="right" vertical="center"/>
    </xf>
    <xf numFmtId="170" fontId="24" fillId="0" borderId="0" xfId="0" applyNumberFormat="1" applyFont="1" applyAlignment="1">
      <alignment vertical="center"/>
    </xf>
    <xf numFmtId="1" fontId="25" fillId="0" borderId="9" xfId="0" applyNumberFormat="1" applyFont="1" applyBorder="1" applyAlignment="1">
      <alignment vertical="center"/>
    </xf>
    <xf numFmtId="170" fontId="0" fillId="0" borderId="0" xfId="0" applyNumberFormat="1"/>
    <xf numFmtId="0" fontId="25" fillId="0" borderId="0" xfId="0" applyFont="1" applyAlignment="1">
      <alignment horizontal="right" vertical="center"/>
    </xf>
    <xf numFmtId="1" fontId="25" fillId="0" borderId="0" xfId="0" applyNumberFormat="1" applyFont="1" applyAlignment="1">
      <alignment vertical="center"/>
    </xf>
    <xf numFmtId="0" fontId="16" fillId="12" borderId="0" xfId="0" applyFont="1" applyFill="1" applyAlignment="1">
      <alignment horizontal="left" vertical="top" wrapText="1"/>
    </xf>
    <xf numFmtId="166" fontId="0" fillId="12" borderId="0" xfId="0" applyNumberFormat="1" applyFill="1" applyAlignment="1">
      <alignment vertical="top"/>
    </xf>
    <xf numFmtId="0" fontId="0" fillId="12" borderId="0" xfId="0" applyFill="1" applyAlignment="1">
      <alignment horizontal="left" vertical="top"/>
    </xf>
    <xf numFmtId="171" fontId="0" fillId="0" borderId="0" xfId="0" applyNumberFormat="1"/>
    <xf numFmtId="172" fontId="0" fillId="0" borderId="0" xfId="0" applyNumberFormat="1"/>
    <xf numFmtId="0" fontId="2" fillId="0" borderId="3" xfId="0" applyFont="1" applyBorder="1"/>
    <xf numFmtId="0" fontId="2" fillId="0" borderId="3" xfId="0" applyFont="1" applyBorder="1" applyAlignment="1">
      <alignment horizontal="left"/>
    </xf>
    <xf numFmtId="0" fontId="0" fillId="0" borderId="0" xfId="0" applyAlignment="1">
      <alignment horizontal="left" vertical="top"/>
    </xf>
    <xf numFmtId="0" fontId="26" fillId="0" borderId="0" xfId="0" applyFont="1"/>
    <xf numFmtId="0" fontId="0" fillId="9" borderId="0" xfId="0" applyFill="1" applyAlignment="1">
      <alignment horizontal="left"/>
    </xf>
    <xf numFmtId="166" fontId="10" fillId="0" borderId="0" xfId="1" applyNumberFormat="1" applyFont="1" applyAlignment="1">
      <alignment wrapText="1"/>
    </xf>
  </cellXfs>
  <cellStyles count="5">
    <cellStyle name="Comma" xfId="1" builtinId="3"/>
    <cellStyle name="Currency" xfId="4" builtinId="4"/>
    <cellStyle name="Hyperlink" xfId="3" builtinId="8"/>
    <cellStyle name="Normal" xfId="0" builtinId="0"/>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CBD transit mode share vs. parking spaces per 1,000 sq. ft.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0264662371748988E-2"/>
          <c:y val="0.19964984401403874"/>
          <c:w val="0.86926270579813891"/>
          <c:h val="0.61905767766615294"/>
        </c:manualLayout>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[3]Sheet1!$C$7:$C$13</c:f>
              <c:numCache>
                <c:formatCode>General</c:formatCode>
                <c:ptCount val="7"/>
                <c:pt idx="0">
                  <c:v>3.5</c:v>
                </c:pt>
                <c:pt idx="1">
                  <c:v>2.1</c:v>
                </c:pt>
                <c:pt idx="2">
                  <c:v>1.3</c:v>
                </c:pt>
                <c:pt idx="3">
                  <c:v>1</c:v>
                </c:pt>
                <c:pt idx="4">
                  <c:v>1.4</c:v>
                </c:pt>
                <c:pt idx="5">
                  <c:v>1.5</c:v>
                </c:pt>
                <c:pt idx="6">
                  <c:v>1.1000000000000001</c:v>
                </c:pt>
              </c:numCache>
            </c:numRef>
          </c:xVal>
          <c:yVal>
            <c:numRef>
              <c:f>[3]Sheet1!$D$7:$D$13</c:f>
              <c:numCache>
                <c:formatCode>General</c:formatCode>
                <c:ptCount val="7"/>
                <c:pt idx="0">
                  <c:v>0.14599999999999999</c:v>
                </c:pt>
                <c:pt idx="1">
                  <c:v>0.32</c:v>
                </c:pt>
                <c:pt idx="2">
                  <c:v>0.38800000000000001</c:v>
                </c:pt>
                <c:pt idx="3">
                  <c:v>0.48699999999999999</c:v>
                </c:pt>
                <c:pt idx="4">
                  <c:v>0.46</c:v>
                </c:pt>
                <c:pt idx="5">
                  <c:v>0.64100000000000001</c:v>
                </c:pt>
                <c:pt idx="6">
                  <c:v>0.48799999999999999</c:v>
                </c:pt>
              </c:numCache>
            </c:numRef>
          </c:yVal>
          <c:smooth val="0"/>
          <c:extLst>
            <c:ext xmlns:c16="http://schemas.microsoft.com/office/drawing/2014/chart" uri="{C3380CC4-5D6E-409C-BE32-E72D297353CC}">
              <c16:uniqueId val="{00000001-B65C-4CFA-8763-E3C98BC5BCE6}"/>
            </c:ext>
          </c:extLst>
        </c:ser>
        <c:dLbls>
          <c:showLegendKey val="0"/>
          <c:showVal val="0"/>
          <c:showCatName val="0"/>
          <c:showSerName val="0"/>
          <c:showPercent val="0"/>
          <c:showBubbleSize val="0"/>
        </c:dLbls>
        <c:axId val="761907936"/>
        <c:axId val="761900448"/>
      </c:scatterChart>
      <c:valAx>
        <c:axId val="7619079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1900448"/>
        <c:crosses val="autoZero"/>
        <c:crossBetween val="midCat"/>
      </c:valAx>
      <c:valAx>
        <c:axId val="7619004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19079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71004</xdr:colOff>
      <xdr:row>108</xdr:row>
      <xdr:rowOff>34490</xdr:rowOff>
    </xdr:from>
    <xdr:to>
      <xdr:col>10</xdr:col>
      <xdr:colOff>476250</xdr:colOff>
      <xdr:row>126</xdr:row>
      <xdr:rowOff>51954</xdr:rowOff>
    </xdr:to>
    <xdr:graphicFrame macro="">
      <xdr:nvGraphicFramePr>
        <xdr:cNvPr id="2" name="Chart 1">
          <a:extLst>
            <a:ext uri="{FF2B5EF4-FFF2-40B4-BE49-F238E27FC236}">
              <a16:creationId xmlns:a16="http://schemas.microsoft.com/office/drawing/2014/main" id="{50D35F7B-D4EE-4A10-954B-DD30703760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542925</xdr:colOff>
      <xdr:row>128</xdr:row>
      <xdr:rowOff>133350</xdr:rowOff>
    </xdr:from>
    <xdr:ext cx="184731" cy="264560"/>
    <xdr:sp macro="" textlink="">
      <xdr:nvSpPr>
        <xdr:cNvPr id="3" name="TextBox 2">
          <a:extLst>
            <a:ext uri="{FF2B5EF4-FFF2-40B4-BE49-F238E27FC236}">
              <a16:creationId xmlns:a16="http://schemas.microsoft.com/office/drawing/2014/main" id="{D41A4338-0710-48C5-82B7-3540A4D87845}"/>
            </a:ext>
          </a:extLst>
        </xdr:cNvPr>
        <xdr:cNvSpPr txBox="1"/>
      </xdr:nvSpPr>
      <xdr:spPr>
        <a:xfrm>
          <a:off x="4019550" y="451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88322</xdr:colOff>
      <xdr:row>126</xdr:row>
      <xdr:rowOff>104774</xdr:rowOff>
    </xdr:from>
    <xdr:to>
      <xdr:col>11</xdr:col>
      <xdr:colOff>541194</xdr:colOff>
      <xdr:row>142</xdr:row>
      <xdr:rowOff>114300</xdr:rowOff>
    </xdr:to>
    <xdr:sp macro="" textlink="">
      <xdr:nvSpPr>
        <xdr:cNvPr id="4" name="TextBox 3">
          <a:extLst>
            <a:ext uri="{FF2B5EF4-FFF2-40B4-BE49-F238E27FC236}">
              <a16:creationId xmlns:a16="http://schemas.microsoft.com/office/drawing/2014/main" id="{96EAEE24-4D22-4E40-9FAA-8F56D6B8195C}"/>
            </a:ext>
          </a:extLst>
        </xdr:cNvPr>
        <xdr:cNvSpPr txBox="1"/>
      </xdr:nvSpPr>
      <xdr:spPr>
        <a:xfrm>
          <a:off x="5950527" y="29684229"/>
          <a:ext cx="5864803" cy="3057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baseline="0">
              <a:solidFill>
                <a:schemeClr val="dk1"/>
              </a:solidFill>
              <a:effectLst/>
              <a:latin typeface="+mn-lt"/>
              <a:ea typeface="+mn-ea"/>
              <a:cs typeface="+mn-cs"/>
            </a:rPr>
            <a:t>Morrall, J., and Bolger, D. (1996). “The Relationship Between Downtown Parking Supply and Transit Use.” ITE Journal Vol. 66, No. 2 (February, 1996).</a:t>
          </a: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Per TCRP Report 95, Chapter 18: The non-linear regression analysis conducted on the Canadian city data resulted in an r2 value of 0.92 for the equation explaining transit use to the CBD as a function of downtown parking supply per employee. When the authors attempted to include the U.S. cities in the equation, a much weaker relationship resulted, shown in an r2 of 0.59 (Morrall and Bolger, 1996).</a:t>
          </a:r>
          <a:endParaRPr lang="en-US">
            <a:effectLst/>
          </a:endParaRP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...This simplified equation, which has an r2 of 0.82 and a coefficient with high statistical</a:t>
          </a:r>
        </a:p>
        <a:p>
          <a:r>
            <a:rPr lang="en-US" sz="1100" b="0" i="0" u="none" strike="noStrike" baseline="0">
              <a:solidFill>
                <a:schemeClr val="dk1"/>
              </a:solidFill>
              <a:latin typeface="+mn-lt"/>
              <a:ea typeface="+mn-ea"/>
              <a:cs typeface="+mn-cs"/>
            </a:rPr>
            <a:t>significance, leads to computation of a linear arc elasticity of change in transit mode share in</a:t>
          </a:r>
        </a:p>
        <a:p>
          <a:r>
            <a:rPr lang="en-US" sz="1100" b="0" i="0" u="none" strike="noStrike" baseline="0">
              <a:solidFill>
                <a:schemeClr val="dk1"/>
              </a:solidFill>
              <a:latin typeface="+mn-lt"/>
              <a:ea typeface="+mn-ea"/>
              <a:cs typeface="+mn-cs"/>
            </a:rPr>
            <a:t>relation to parking space ratio of -0.77. This implies that for every 1.0 percent increase in</a:t>
          </a:r>
        </a:p>
        <a:p>
          <a:r>
            <a:rPr lang="en-US" sz="1100" b="0" i="0" u="none" strike="noStrike" baseline="0">
              <a:solidFill>
                <a:schemeClr val="dk1"/>
              </a:solidFill>
              <a:latin typeface="+mn-lt"/>
              <a:ea typeface="+mn-ea"/>
              <a:cs typeface="+mn-cs"/>
            </a:rPr>
            <a:t>parking spaces per employee, transit mode share will decline by 0.77 percent (when</a:t>
          </a:r>
        </a:p>
        <a:p>
          <a:r>
            <a:rPr lang="en-US" sz="1100" b="0" i="0" u="none" strike="noStrike" baseline="0">
              <a:solidFill>
                <a:schemeClr val="dk1"/>
              </a:solidFill>
              <a:latin typeface="+mn-lt"/>
              <a:ea typeface="+mn-ea"/>
              <a:cs typeface="+mn-cs"/>
            </a:rPr>
            <a:t>calculated in infinitesimally small increments).</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CDP: Trendline fitted to parking space vs. peak transit share, and assuming change in transit share = -change in auto share, suggests a change of -1.4% auto share per 0.1 spc/ksf</a:t>
          </a:r>
          <a:endParaRPr lang="en-US" sz="1100"/>
        </a:p>
      </xdr:txBody>
    </xdr:sp>
    <xdr:clientData/>
  </xdr:twoCellAnchor>
  <xdr:twoCellAnchor>
    <xdr:from>
      <xdr:col>7</xdr:col>
      <xdr:colOff>48778</xdr:colOff>
      <xdr:row>144</xdr:row>
      <xdr:rowOff>29153</xdr:rowOff>
    </xdr:from>
    <xdr:to>
      <xdr:col>11</xdr:col>
      <xdr:colOff>504825</xdr:colOff>
      <xdr:row>153</xdr:row>
      <xdr:rowOff>25977</xdr:rowOff>
    </xdr:to>
    <xdr:sp macro="" textlink="">
      <xdr:nvSpPr>
        <xdr:cNvPr id="5" name="TextBox 4">
          <a:extLst>
            <a:ext uri="{FF2B5EF4-FFF2-40B4-BE49-F238E27FC236}">
              <a16:creationId xmlns:a16="http://schemas.microsoft.com/office/drawing/2014/main" id="{B671A497-3F01-4763-8F43-CD38DACF03B3}"/>
            </a:ext>
          </a:extLst>
        </xdr:cNvPr>
        <xdr:cNvSpPr txBox="1"/>
      </xdr:nvSpPr>
      <xdr:spPr>
        <a:xfrm>
          <a:off x="5910983" y="33418608"/>
          <a:ext cx="5867978" cy="1711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baseline="0">
              <a:solidFill>
                <a:schemeClr val="dk1"/>
              </a:solidFill>
              <a:effectLst/>
              <a:latin typeface="+mn-lt"/>
              <a:ea typeface="+mn-ea"/>
              <a:cs typeface="+mn-cs"/>
            </a:rPr>
            <a:t>Cervero, R., Land Use and Travel at Suburban Activity Centers, Transportation Quarterly Vol 45 No 4, Oct 1991.  The auto share of work trips increases by 5 percent for an office building with 1.5 vs. 0.5 parking spaces per employee.</a:t>
          </a: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Elasticities:</a:t>
          </a:r>
        </a:p>
        <a:p>
          <a:r>
            <a:rPr lang="en-US" sz="1100" b="0" i="0" baseline="0">
              <a:solidFill>
                <a:schemeClr val="dk1"/>
              </a:solidFill>
              <a:effectLst/>
              <a:latin typeface="+mn-lt"/>
              <a:ea typeface="+mn-ea"/>
              <a:cs typeface="+mn-cs"/>
            </a:rPr>
            <a:t>Vehicle trips/employee w/r/t spaces/emp = 0.197</a:t>
          </a: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CDP:  If we take 2.8 spc/ksf as 1 spc/emp, that would mean 5% auto MS change per 1.4 spc/ksf = 0.4% auto MS change per 0.1 spc/ksf </a:t>
          </a:r>
          <a:endParaRPr lang="en-US" sz="1100"/>
        </a:p>
      </xdr:txBody>
    </xdr:sp>
    <xdr:clientData/>
  </xdr:twoCellAnchor>
  <xdr:twoCellAnchor>
    <xdr:from>
      <xdr:col>7</xdr:col>
      <xdr:colOff>79663</xdr:colOff>
      <xdr:row>164</xdr:row>
      <xdr:rowOff>39833</xdr:rowOff>
    </xdr:from>
    <xdr:to>
      <xdr:col>11</xdr:col>
      <xdr:colOff>523010</xdr:colOff>
      <xdr:row>169</xdr:row>
      <xdr:rowOff>135083</xdr:rowOff>
    </xdr:to>
    <xdr:sp macro="" textlink="">
      <xdr:nvSpPr>
        <xdr:cNvPr id="6" name="TextBox 5">
          <a:extLst>
            <a:ext uri="{FF2B5EF4-FFF2-40B4-BE49-F238E27FC236}">
              <a16:creationId xmlns:a16="http://schemas.microsoft.com/office/drawing/2014/main" id="{1CF60966-EE4C-4C63-AD0F-4BA1CB3D541F}"/>
            </a:ext>
          </a:extLst>
        </xdr:cNvPr>
        <xdr:cNvSpPr txBox="1"/>
      </xdr:nvSpPr>
      <xdr:spPr>
        <a:xfrm>
          <a:off x="5941868" y="38001288"/>
          <a:ext cx="5855278" cy="1229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The Institute of Transportation Engineers (ITE) reports average parking utilization rates for single use development sites of 2.8 spaces per 1,000 GSF for general office buildings and 2.5 spaces per 1,000 GSF in business parks. In both cases, however, there is a wide range in reported parking rates.</a:t>
          </a:r>
        </a:p>
        <a:p>
          <a:r>
            <a:rPr lang="en-US" sz="1100" b="0" i="0" u="none" strike="noStrike" baseline="0">
              <a:solidFill>
                <a:schemeClr val="dk1"/>
              </a:solidFill>
              <a:latin typeface="+mn-lt"/>
              <a:ea typeface="+mn-ea"/>
              <a:cs typeface="+mn-cs"/>
            </a:rPr>
            <a:t>- TCRP Report 95, Chapter 18 (2003)</a:t>
          </a:r>
          <a:endParaRPr lang="en-US" sz="1100"/>
        </a:p>
      </xdr:txBody>
    </xdr:sp>
    <xdr:clientData/>
  </xdr:twoCellAnchor>
  <xdr:twoCellAnchor>
    <xdr:from>
      <xdr:col>7</xdr:col>
      <xdr:colOff>37233</xdr:colOff>
      <xdr:row>154</xdr:row>
      <xdr:rowOff>142009</xdr:rowOff>
    </xdr:from>
    <xdr:to>
      <xdr:col>11</xdr:col>
      <xdr:colOff>480580</xdr:colOff>
      <xdr:row>162</xdr:row>
      <xdr:rowOff>142009</xdr:rowOff>
    </xdr:to>
    <xdr:sp macro="" textlink="">
      <xdr:nvSpPr>
        <xdr:cNvPr id="7" name="TextBox 6">
          <a:extLst>
            <a:ext uri="{FF2B5EF4-FFF2-40B4-BE49-F238E27FC236}">
              <a16:creationId xmlns:a16="http://schemas.microsoft.com/office/drawing/2014/main" id="{EF1EFC04-BF51-43E0-8A7D-CB0CD665FA18}"/>
            </a:ext>
          </a:extLst>
        </xdr:cNvPr>
        <xdr:cNvSpPr txBox="1"/>
      </xdr:nvSpPr>
      <xdr:spPr>
        <a:xfrm>
          <a:off x="5899438" y="36198464"/>
          <a:ext cx="5855278"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2003 California TOD Travel Characteristics (Lund, Cervero, &amp; Willson) - cited in TCRP Report 95 Chapter 17 (p.66)</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Offices with &lt;1 spc/2 workers: transit share 30%</a:t>
          </a:r>
        </a:p>
        <a:p>
          <a:r>
            <a:rPr lang="en-US" sz="1100" b="0" i="0" u="none" strike="noStrike" baseline="0">
              <a:solidFill>
                <a:schemeClr val="dk1"/>
              </a:solidFill>
              <a:latin typeface="+mn-lt"/>
              <a:ea typeface="+mn-ea"/>
              <a:cs typeface="+mn-cs"/>
            </a:rPr>
            <a:t>Offices with &gt;1 spc/2 workers: transit share 10%</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CDP:  Again, taking 2.8 spc/ksf as 1 spc/worker, and change in auto MS = -change in transit MS, that would mean -20% auto MS change per 1.4 spc/ksf = 1.4% per 0.1 spc/ksf</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0.91156</cdr:y>
    </cdr:from>
    <cdr:to>
      <cdr:x>0.67818</cdr:x>
      <cdr:y>1</cdr:y>
    </cdr:to>
    <cdr:sp macro="" textlink="">
      <cdr:nvSpPr>
        <cdr:cNvPr id="2" name="TextBox 1">
          <a:extLst xmlns:a="http://schemas.openxmlformats.org/drawingml/2006/main">
            <a:ext uri="{FF2B5EF4-FFF2-40B4-BE49-F238E27FC236}">
              <a16:creationId xmlns:a16="http://schemas.microsoft.com/office/drawing/2014/main" id="{E9DAD67A-B30F-6198-C9B7-F8E8FA309109}"/>
            </a:ext>
          </a:extLst>
        </cdr:cNvPr>
        <cdr:cNvSpPr txBox="1"/>
      </cdr:nvSpPr>
      <cdr:spPr>
        <a:xfrm xmlns:a="http://schemas.openxmlformats.org/drawingml/2006/main">
          <a:off x="0" y="3141664"/>
          <a:ext cx="3552826" cy="3048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Source: Morrall and Bolger</a:t>
          </a:r>
          <a:r>
            <a:rPr lang="en-US" sz="1100" baseline="0"/>
            <a:t> (1996), as cited in TCRP Report 95, Chapter 18, for Canadian Cities</a:t>
          </a:r>
          <a:endParaRPr lang="en-US"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msys.sharepoint.com/sites/ProjCODOTGHGRuleRIA200097/Shared%20Documents/General/06_Rule%20Support/TCI%20Strategy%20Evaluation_StateTool_v4.14(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msys.sharepoint.com/sites/ProjCODOTGHGRuleRIA200097/Shared%20Documents/General/03_EV%20Conversion/Cost_Calculator_BU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msys-my.sharepoint.com/personal/cporter_camsys_com/Documents/Documents/Library/Transit/TCRP%20Reports/TCRP%20Rpt%2095_Traveler%20Response/TCRP%2095.18%20parking%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Inputs_1"/>
      <sheetName val="Inputs_2"/>
      <sheetName val="Inputs_3"/>
      <sheetName val="Inputs_4"/>
      <sheetName val="Outputs_1"/>
      <sheetName val="Outputs_2a"/>
      <sheetName val="Outputs_2b"/>
      <sheetName val="Outputs_3a"/>
      <sheetName val="Outputs_3b"/>
      <sheetName val="Outputs_4"/>
      <sheetName val="Charts"/>
      <sheetName val="NEMS-in"/>
      <sheetName val="NEMS-out"/>
      <sheetName val="VMT-state"/>
      <sheetName val="Baseline"/>
      <sheetName val="Funding"/>
      <sheetName val="Econ"/>
      <sheetName val="States"/>
      <sheetName val="EmFacs"/>
      <sheetName val="Pricing"/>
      <sheetName val="EV_1"/>
      <sheetName val="EV_2"/>
      <sheetName val="SR"/>
      <sheetName val="Micro"/>
      <sheetName val="LU"/>
      <sheetName val="Bike"/>
      <sheetName val="Ped"/>
      <sheetName val="TDM"/>
      <sheetName val="System"/>
      <sheetName val="FRT"/>
      <sheetName val="HwySGR"/>
      <sheetName val="Tr_Inv"/>
      <sheetName val="Tr_SGR"/>
      <sheetName val="Tr_Ops"/>
      <sheetName val="HwyExp"/>
      <sheetName val="Econ_Factors"/>
      <sheetName val="ImpactFactors"/>
      <sheetName val="Co_Totals"/>
      <sheetName val="TM-LD-EV"/>
      <sheetName val="TM-MD-EV"/>
      <sheetName val="TM-HD-EV"/>
      <sheetName val="TM-HD-H2FC"/>
      <sheetName val="TM-TrBus"/>
      <sheetName val="TM-SchBus"/>
      <sheetName val="Coun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04">
          <cell r="M104">
            <v>1.1159900448615316</v>
          </cell>
          <cell r="T104">
            <v>1.0105969810494981</v>
          </cell>
          <cell r="X104">
            <v>0.9361799172612465</v>
          </cell>
          <cell r="AH104">
            <v>0.80941619878931592</v>
          </cell>
        </row>
        <row r="105">
          <cell r="S105">
            <v>1.3067405703134523</v>
          </cell>
          <cell r="T105">
            <v>1.2859459119712147</v>
          </cell>
          <cell r="X105">
            <v>1.1988356512547829</v>
          </cell>
          <cell r="AH105">
            <v>1.0742545022435372</v>
          </cell>
        </row>
        <row r="106">
          <cell r="M106">
            <v>2.8046345621746007</v>
          </cell>
        </row>
        <row r="107">
          <cell r="T107">
            <v>1.2429114329734579</v>
          </cell>
          <cell r="X107">
            <v>1.1500373277059566</v>
          </cell>
          <cell r="AH107">
            <v>1.0071480945377094</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4">
          <cell r="Z14">
            <v>3.456971476739045E-3</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Industry"/>
      <sheetName val="Emissions"/>
      <sheetName val="Vehicle Turnover"/>
      <sheetName val="Vehicle Costs"/>
      <sheetName val="Fuel Costs"/>
      <sheetName val="Sheet1"/>
      <sheetName val="O&amp;M_Infra"/>
      <sheetName val="Veh_Stock"/>
      <sheetName val="Sales_Stock"/>
      <sheetName val="AEO_Sales"/>
      <sheetName val="AEO_Stock"/>
    </sheetNames>
    <sheetDataSet>
      <sheetData sheetId="0"/>
      <sheetData sheetId="1"/>
      <sheetData sheetId="2">
        <row r="12">
          <cell r="H12">
            <v>2945.2690166975881</v>
          </cell>
          <cell r="M12">
            <v>2697.5361087510614</v>
          </cell>
          <cell r="W12">
            <v>2405.3030303030305</v>
          </cell>
          <cell r="AG12">
            <v>2346.6371027346636</v>
          </cell>
        </row>
        <row r="13">
          <cell r="W13">
            <v>0</v>
          </cell>
          <cell r="AG13">
            <v>0</v>
          </cell>
        </row>
        <row r="14">
          <cell r="H14">
            <v>2274.1155087371876</v>
          </cell>
          <cell r="M14">
            <v>1666.2678120093035</v>
          </cell>
          <cell r="W14">
            <v>742.87773285414789</v>
          </cell>
          <cell r="AG14">
            <v>0</v>
          </cell>
        </row>
      </sheetData>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7">
          <cell r="C7">
            <v>3.5</v>
          </cell>
          <cell r="D7">
            <v>0.14599999999999999</v>
          </cell>
        </row>
        <row r="8">
          <cell r="C8">
            <v>2.1</v>
          </cell>
          <cell r="D8">
            <v>0.32</v>
          </cell>
        </row>
        <row r="9">
          <cell r="C9">
            <v>1.3</v>
          </cell>
          <cell r="D9">
            <v>0.38800000000000001</v>
          </cell>
        </row>
        <row r="10">
          <cell r="C10">
            <v>1</v>
          </cell>
          <cell r="D10">
            <v>0.48699999999999999</v>
          </cell>
        </row>
        <row r="11">
          <cell r="C11">
            <v>1.4</v>
          </cell>
          <cell r="D11">
            <v>0.46</v>
          </cell>
        </row>
        <row r="12">
          <cell r="C12">
            <v>1.5</v>
          </cell>
          <cell r="D12">
            <v>0.64100000000000001</v>
          </cell>
        </row>
        <row r="13">
          <cell r="C13">
            <v>1.1000000000000001</v>
          </cell>
          <cell r="D13">
            <v>0.48799999999999999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georgetownclimate.org/files/report/GCC_Investment_Tool.pdf" TargetMode="External"/><Relationship Id="rId13" Type="http://schemas.openxmlformats.org/officeDocument/2006/relationships/hyperlink" Target="https://pdxscholar.library.pdx.edu/trec_reports/161/" TargetMode="External"/><Relationship Id="rId18" Type="http://schemas.openxmlformats.org/officeDocument/2006/relationships/hyperlink" Target="https://www.codot.gov/business/rules/documents/cdot-cost-benefit-analysis-for-ghg-rule-sept-2021.pdf" TargetMode="External"/><Relationship Id="rId3" Type="http://schemas.openxmlformats.org/officeDocument/2006/relationships/hyperlink" Target="https://www.eia.gov/outlooks/aeo/" TargetMode="External"/><Relationship Id="rId21" Type="http://schemas.openxmlformats.org/officeDocument/2006/relationships/hyperlink" Target="https://www.trb.org/Publications/TCRPReport95.aspx" TargetMode="External"/><Relationship Id="rId7" Type="http://schemas.openxmlformats.org/officeDocument/2006/relationships/hyperlink" Target="https://www.codot.gov/programs/innovativemobility/mobility-services/tdm/links.html" TargetMode="External"/><Relationship Id="rId12" Type="http://schemas.openxmlformats.org/officeDocument/2006/relationships/hyperlink" Target="https://www.vtpi.org/tdm/" TargetMode="External"/><Relationship Id="rId17" Type="http://schemas.openxmlformats.org/officeDocument/2006/relationships/hyperlink" Target="https://www.saferoutespartnership.org/resources/journal-article/cycling-work-90-large-american-cities" TargetMode="External"/><Relationship Id="rId2" Type="http://schemas.openxmlformats.org/officeDocument/2006/relationships/hyperlink" Target="http://www.sjsu.edu/urbanplanning/docs/VTA-TODParkingSurveyReport-VolI.pdf" TargetMode="External"/><Relationship Id="rId16" Type="http://schemas.openxmlformats.org/officeDocument/2006/relationships/hyperlink" Target="http://www.reconnectingamerica.org/assets/Uploads/DOTClimateChangeReport-April2010-Volume1and2.pdf" TargetMode="External"/><Relationship Id="rId20" Type="http://schemas.openxmlformats.org/officeDocument/2006/relationships/hyperlink" Target="https://www.trb.org/Publications/TCRPReport95.aspx" TargetMode="External"/><Relationship Id="rId1" Type="http://schemas.openxmlformats.org/officeDocument/2006/relationships/hyperlink" Target="https://americas.uli.org/wp-content/uploads/sites/2/ULI-Documents/ULI-Parking-Policy-Research-Potential-Benefits-of-Reforms.pdf" TargetMode="External"/><Relationship Id="rId6" Type="http://schemas.openxmlformats.org/officeDocument/2006/relationships/hyperlink" Target="https://ww2.arb.ca.gov/sites/default/files/classic/fuels/lcfs/peerreview/050515staffreport_ca-greet.pdf" TargetMode="External"/><Relationship Id="rId11" Type="http://schemas.openxmlformats.org/officeDocument/2006/relationships/hyperlink" Target="https://www.vtpi.org/tdm/" TargetMode="External"/><Relationship Id="rId24" Type="http://schemas.openxmlformats.org/officeDocument/2006/relationships/comments" Target="../comments7.xml"/><Relationship Id="rId5" Type="http://schemas.openxmlformats.org/officeDocument/2006/relationships/hyperlink" Target="https://www.airquality.org/ClimateChange/Documents/Handbook%20Public%20Draft_2021-Aug.pdf" TargetMode="External"/><Relationship Id="rId15" Type="http://schemas.openxmlformats.org/officeDocument/2006/relationships/hyperlink" Target="https://www.mwcog.org/documents/2020/11/17/commuter-connections-transportation-emission-reduction-measure-term-analysis-report--carsharing-commuter-connections-commuting/" TargetMode="External"/><Relationship Id="rId23" Type="http://schemas.openxmlformats.org/officeDocument/2006/relationships/vmlDrawing" Target="../drawings/vmlDrawing7.vml"/><Relationship Id="rId10" Type="http://schemas.openxmlformats.org/officeDocument/2006/relationships/hyperlink" Target="https://www.itf-oecd.org/good-go-assessing-environmental-performance-new-mobility" TargetMode="External"/><Relationship Id="rId19" Type="http://schemas.openxmlformats.org/officeDocument/2006/relationships/hyperlink" Target="http://www3.drcog.org/documents/archive/_CODOT_TDM_COMPLETE%20-%20FINAL%202%2011%2010.pdf" TargetMode="External"/><Relationship Id="rId4" Type="http://schemas.openxmlformats.org/officeDocument/2006/relationships/hyperlink" Target="https://afdc.energy.gov/" TargetMode="External"/><Relationship Id="rId9" Type="http://schemas.openxmlformats.org/officeDocument/2006/relationships/hyperlink" Target="https://nhts.ornl.gov/assets/2017_nhts_summary_travel_trends.pdf" TargetMode="External"/><Relationship Id="rId14" Type="http://schemas.openxmlformats.org/officeDocument/2006/relationships/hyperlink" Target="https://mobilitylab.org/research-document/arlington-county-shared-mobility-devices-smd-pilot-evaluation-report/" TargetMode="External"/><Relationship Id="rId22"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79B16-02A6-4712-AAB7-75D5CB05C7AA}">
  <dimension ref="A1:I84"/>
  <sheetViews>
    <sheetView zoomScale="110" zoomScaleNormal="110" workbookViewId="0">
      <pane ySplit="3" topLeftCell="A4" activePane="bottomLeft" state="frozen"/>
      <selection pane="bottomLeft" activeCell="I75" sqref="I75"/>
    </sheetView>
  </sheetViews>
  <sheetFormatPr defaultRowHeight="15" x14ac:dyDescent="0.25"/>
  <cols>
    <col min="1" max="1" width="2.5703125" customWidth="1"/>
    <col min="2" max="2" width="4.42578125" style="3" customWidth="1"/>
    <col min="3" max="3" width="36.140625" style="2" customWidth="1"/>
    <col min="4" max="4" width="13.140625" customWidth="1"/>
    <col min="5" max="7" width="9.7109375" customWidth="1"/>
    <col min="8" max="8" width="28.85546875" style="2" customWidth="1"/>
    <col min="9" max="9" width="43.5703125" style="2" customWidth="1"/>
  </cols>
  <sheetData>
    <row r="1" spans="2:9" ht="15.75" thickTop="1" x14ac:dyDescent="0.25">
      <c r="B1" s="28" t="s">
        <v>0</v>
      </c>
      <c r="C1" s="28"/>
      <c r="D1" s="28"/>
      <c r="E1" s="28"/>
      <c r="F1" s="29"/>
      <c r="G1" s="29"/>
      <c r="H1" s="30"/>
      <c r="I1" s="31"/>
    </row>
    <row r="2" spans="2:9" x14ac:dyDescent="0.25">
      <c r="D2" s="1" t="s">
        <v>1</v>
      </c>
      <c r="E2" s="1"/>
      <c r="F2" s="1"/>
      <c r="G2" s="1"/>
    </row>
    <row r="3" spans="2:9" ht="15.75" thickBot="1" x14ac:dyDescent="0.3">
      <c r="B3" s="35" t="s">
        <v>2</v>
      </c>
      <c r="C3" s="17" t="s">
        <v>3</v>
      </c>
      <c r="D3" s="13">
        <v>2025</v>
      </c>
      <c r="E3" s="13">
        <v>2030</v>
      </c>
      <c r="F3" s="13">
        <v>2040</v>
      </c>
      <c r="G3" s="13">
        <v>2050</v>
      </c>
      <c r="H3" s="17" t="s">
        <v>4</v>
      </c>
      <c r="I3" s="17" t="s">
        <v>5</v>
      </c>
    </row>
    <row r="4" spans="2:9" ht="15.75" thickTop="1" x14ac:dyDescent="0.25">
      <c r="B4" s="36"/>
      <c r="C4" s="14" t="s">
        <v>6</v>
      </c>
      <c r="D4" s="14"/>
      <c r="E4" s="14"/>
      <c r="F4" s="15"/>
      <c r="G4" s="15"/>
      <c r="H4" s="16"/>
      <c r="I4" s="18"/>
    </row>
    <row r="5" spans="2:9" x14ac:dyDescent="0.25">
      <c r="B5" s="3" t="s">
        <v>7</v>
      </c>
      <c r="C5" s="6" t="s">
        <v>8</v>
      </c>
      <c r="D5" s="7">
        <v>341</v>
      </c>
      <c r="E5" s="185">
        <v>281</v>
      </c>
      <c r="F5" s="185">
        <v>163</v>
      </c>
      <c r="G5" s="185">
        <v>77</v>
      </c>
      <c r="H5" s="3" t="s">
        <v>9</v>
      </c>
      <c r="I5" s="6"/>
    </row>
    <row r="6" spans="2:9" x14ac:dyDescent="0.25">
      <c r="C6" s="38" t="s">
        <v>10</v>
      </c>
      <c r="D6" s="42"/>
      <c r="E6" s="42"/>
      <c r="F6" s="42"/>
      <c r="G6" s="42"/>
      <c r="H6" s="41"/>
      <c r="I6" s="41"/>
    </row>
    <row r="7" spans="2:9" x14ac:dyDescent="0.25">
      <c r="B7" s="3" t="s">
        <v>11</v>
      </c>
      <c r="C7" s="20" t="s">
        <v>12</v>
      </c>
      <c r="D7" s="8">
        <v>0.6</v>
      </c>
      <c r="E7" s="9"/>
      <c r="F7" s="9"/>
      <c r="G7" s="9"/>
      <c r="H7" s="3" t="s">
        <v>13</v>
      </c>
    </row>
    <row r="8" spans="2:9" x14ac:dyDescent="0.25">
      <c r="B8" s="3" t="s">
        <v>14</v>
      </c>
      <c r="C8" s="20" t="s">
        <v>15</v>
      </c>
      <c r="D8" s="8">
        <v>0.4</v>
      </c>
      <c r="E8" s="9"/>
      <c r="F8" s="9"/>
      <c r="G8" s="9"/>
      <c r="H8" s="3" t="s">
        <v>16</v>
      </c>
    </row>
    <row r="9" spans="2:9" x14ac:dyDescent="0.25">
      <c r="B9" s="3" t="s">
        <v>434</v>
      </c>
      <c r="C9" s="20" t="s">
        <v>435</v>
      </c>
      <c r="D9" s="8">
        <v>0.4</v>
      </c>
      <c r="E9" s="70"/>
      <c r="F9" s="70"/>
      <c r="G9" s="70"/>
      <c r="H9" s="3"/>
    </row>
    <row r="10" spans="2:9" x14ac:dyDescent="0.25">
      <c r="C10" s="38" t="s">
        <v>672</v>
      </c>
      <c r="D10" s="38"/>
      <c r="E10" s="38"/>
      <c r="F10" s="38"/>
      <c r="G10" s="38"/>
      <c r="H10" s="38"/>
      <c r="I10" s="38"/>
    </row>
    <row r="11" spans="2:9" x14ac:dyDescent="0.25">
      <c r="C11" s="20" t="s">
        <v>666</v>
      </c>
      <c r="D11" s="196">
        <f>TDM!D9</f>
        <v>3.4791107443039651</v>
      </c>
      <c r="E11" s="196">
        <f>TDM!E9</f>
        <v>2.2707530265357398</v>
      </c>
      <c r="F11" s="196">
        <f>TDM!F9</f>
        <v>1.0119839567160729</v>
      </c>
      <c r="G11" s="196">
        <f>TDM!G9</f>
        <v>0.34909959151547398</v>
      </c>
      <c r="H11" s="3"/>
    </row>
    <row r="12" spans="2:9" x14ac:dyDescent="0.25">
      <c r="C12" s="20" t="s">
        <v>667</v>
      </c>
      <c r="D12" s="196">
        <f>TDM!D10</f>
        <v>0.1629903970394655</v>
      </c>
      <c r="E12" s="196">
        <f>TDM!E10</f>
        <v>6.23003152038571E-2</v>
      </c>
      <c r="F12" s="196">
        <f>TDM!F10</f>
        <v>1.0339712479423696E-2</v>
      </c>
      <c r="G12" s="196">
        <f>TDM!G10</f>
        <v>3.6762732119753477E-3</v>
      </c>
      <c r="H12" s="3"/>
    </row>
    <row r="13" spans="2:9" x14ac:dyDescent="0.25">
      <c r="C13" s="20" t="s">
        <v>668</v>
      </c>
      <c r="D13" s="196">
        <f>TDM!D11</f>
        <v>8.1780062117261902E-3</v>
      </c>
      <c r="E13" s="196">
        <f>TDM!E11</f>
        <v>6.4926724440380456E-3</v>
      </c>
      <c r="F13" s="196">
        <f>TDM!F11</f>
        <v>5.7310588809980252E-3</v>
      </c>
      <c r="G13" s="196">
        <f>TDM!G11</f>
        <v>4.7981379591240702E-3</v>
      </c>
      <c r="H13" s="3"/>
    </row>
    <row r="14" spans="2:9" x14ac:dyDescent="0.25">
      <c r="C14" s="20" t="s">
        <v>669</v>
      </c>
      <c r="D14" s="196">
        <f>TDM!D12</f>
        <v>2.2927218502208401E-3</v>
      </c>
      <c r="E14" s="196">
        <f>TDM!E12</f>
        <v>1.7676401704351998E-3</v>
      </c>
      <c r="F14" s="196">
        <f>TDM!F12</f>
        <v>1.0856853009032288E-3</v>
      </c>
      <c r="G14" s="196">
        <f>TDM!G12</f>
        <v>4.7831879159705042E-4</v>
      </c>
      <c r="H14" s="3"/>
    </row>
    <row r="15" spans="2:9" x14ac:dyDescent="0.25">
      <c r="C15" s="2" t="s">
        <v>670</v>
      </c>
      <c r="D15" s="196">
        <f>TDM!D13</f>
        <v>8.6732866269749603E-2</v>
      </c>
      <c r="E15" s="196">
        <f>TDM!E13</f>
        <v>4.7194128869723198E-2</v>
      </c>
      <c r="F15" s="196">
        <f>TDM!F13</f>
        <v>2.7676007684306149E-2</v>
      </c>
      <c r="G15" s="196">
        <f>TDM!G13</f>
        <v>1.2907513705582104E-2</v>
      </c>
      <c r="H15" s="3"/>
    </row>
    <row r="16" spans="2:9" x14ac:dyDescent="0.25">
      <c r="B16" s="38"/>
      <c r="C16" s="38" t="s">
        <v>17</v>
      </c>
      <c r="D16" s="42"/>
      <c r="E16" s="42"/>
      <c r="F16" s="42"/>
      <c r="G16" s="42"/>
      <c r="H16" s="41"/>
      <c r="I16" s="41"/>
    </row>
    <row r="17" spans="1:9" x14ac:dyDescent="0.25">
      <c r="B17" s="3" t="s">
        <v>18</v>
      </c>
      <c r="C17" s="20" t="s">
        <v>19</v>
      </c>
      <c r="D17" s="4">
        <v>2.2999999999999998</v>
      </c>
      <c r="E17" s="5"/>
      <c r="F17" s="5"/>
      <c r="G17" s="5"/>
      <c r="H17" t="s">
        <v>20</v>
      </c>
    </row>
    <row r="18" spans="1:9" x14ac:dyDescent="0.25">
      <c r="B18" s="3" t="s">
        <v>21</v>
      </c>
      <c r="C18" s="20" t="s">
        <v>22</v>
      </c>
      <c r="D18" s="4">
        <v>0.7</v>
      </c>
      <c r="E18" s="5"/>
      <c r="F18" s="5"/>
      <c r="G18" s="5"/>
      <c r="H18" t="s">
        <v>20</v>
      </c>
    </row>
    <row r="19" spans="1:9" x14ac:dyDescent="0.25">
      <c r="B19" s="3" t="s">
        <v>23</v>
      </c>
      <c r="C19" s="20" t="s">
        <v>24</v>
      </c>
      <c r="D19" s="4">
        <v>1.4</v>
      </c>
      <c r="E19" s="5"/>
      <c r="F19" s="5"/>
      <c r="G19" s="5"/>
      <c r="H19" s="3" t="s">
        <v>25</v>
      </c>
    </row>
    <row r="20" spans="1:9" x14ac:dyDescent="0.25">
      <c r="B20" s="3" t="s">
        <v>26</v>
      </c>
      <c r="C20" s="20" t="s">
        <v>27</v>
      </c>
      <c r="D20" s="4">
        <v>1.1000000000000001</v>
      </c>
      <c r="E20" s="5"/>
      <c r="F20" s="5"/>
      <c r="G20" s="5"/>
      <c r="H20" s="3" t="s">
        <v>25</v>
      </c>
    </row>
    <row r="21" spans="1:9" x14ac:dyDescent="0.25">
      <c r="B21" s="3" t="s">
        <v>28</v>
      </c>
      <c r="C21" s="25" t="s">
        <v>29</v>
      </c>
      <c r="D21" s="26">
        <v>365</v>
      </c>
      <c r="E21" s="27"/>
      <c r="F21" s="27"/>
      <c r="G21" s="27"/>
    </row>
    <row r="22" spans="1:9" ht="15.75" thickBot="1" x14ac:dyDescent="0.3">
      <c r="C22" s="6"/>
      <c r="D22" s="1"/>
      <c r="E22" s="1"/>
      <c r="F22" s="1"/>
      <c r="G22" s="1"/>
    </row>
    <row r="23" spans="1:9" ht="45.75" thickTop="1" x14ac:dyDescent="0.25">
      <c r="C23" s="14" t="s">
        <v>30</v>
      </c>
      <c r="D23" s="44" t="s">
        <v>436</v>
      </c>
      <c r="E23" s="44" t="s">
        <v>437</v>
      </c>
      <c r="F23" s="44" t="s">
        <v>31</v>
      </c>
      <c r="G23" s="15"/>
      <c r="H23" s="18" t="s">
        <v>4</v>
      </c>
      <c r="I23" s="18"/>
    </row>
    <row r="24" spans="1:9" x14ac:dyDescent="0.25">
      <c r="A24" s="179"/>
      <c r="C24" s="43" t="s">
        <v>430</v>
      </c>
      <c r="D24">
        <v>150</v>
      </c>
      <c r="F24" s="152">
        <f t="shared" ref="F24:F38" si="0">(D24*$D$17*$D$7+E24*$D$18*$D$9)*$D$21</f>
        <v>75555</v>
      </c>
      <c r="H24" t="s">
        <v>33</v>
      </c>
      <c r="I24"/>
    </row>
    <row r="25" spans="1:9" x14ac:dyDescent="0.25">
      <c r="C25" s="43" t="s">
        <v>32</v>
      </c>
      <c r="D25">
        <v>80</v>
      </c>
      <c r="F25" s="152">
        <f t="shared" si="0"/>
        <v>40296</v>
      </c>
      <c r="H25" t="s">
        <v>35</v>
      </c>
    </row>
    <row r="26" spans="1:9" x14ac:dyDescent="0.25">
      <c r="C26" s="43" t="s">
        <v>34</v>
      </c>
      <c r="D26">
        <v>25</v>
      </c>
      <c r="F26" s="152">
        <f t="shared" si="0"/>
        <v>12592.499999999998</v>
      </c>
      <c r="H26"/>
    </row>
    <row r="27" spans="1:9" x14ac:dyDescent="0.25">
      <c r="C27" s="45" t="s">
        <v>36</v>
      </c>
      <c r="D27" s="46">
        <v>5</v>
      </c>
      <c r="E27" s="46"/>
      <c r="F27" s="153">
        <f t="shared" si="0"/>
        <v>2518.5</v>
      </c>
      <c r="G27" s="46"/>
      <c r="H27" s="47"/>
      <c r="I27" s="47"/>
    </row>
    <row r="28" spans="1:9" ht="30" x14ac:dyDescent="0.25">
      <c r="A28" s="179"/>
      <c r="C28" s="43" t="s">
        <v>431</v>
      </c>
      <c r="E28">
        <v>798</v>
      </c>
      <c r="F28" s="152">
        <f t="shared" si="0"/>
        <v>81555.599999999991</v>
      </c>
      <c r="H28" t="s">
        <v>38</v>
      </c>
    </row>
    <row r="29" spans="1:9" x14ac:dyDescent="0.25">
      <c r="A29" s="179"/>
      <c r="C29" s="43" t="s">
        <v>37</v>
      </c>
      <c r="E29">
        <v>247</v>
      </c>
      <c r="F29" s="152">
        <f t="shared" si="0"/>
        <v>25243.399999999998</v>
      </c>
      <c r="H29" t="s">
        <v>35</v>
      </c>
    </row>
    <row r="30" spans="1:9" ht="30" x14ac:dyDescent="0.25">
      <c r="A30" s="179"/>
      <c r="C30" s="43" t="s">
        <v>39</v>
      </c>
      <c r="E30">
        <v>13</v>
      </c>
      <c r="F30" s="152">
        <f t="shared" si="0"/>
        <v>1328.6000000000001</v>
      </c>
      <c r="H30"/>
    </row>
    <row r="31" spans="1:9" x14ac:dyDescent="0.25">
      <c r="A31" s="179"/>
      <c r="C31" s="45" t="s">
        <v>40</v>
      </c>
      <c r="D31" s="46"/>
      <c r="E31" s="46">
        <v>2</v>
      </c>
      <c r="F31" s="153">
        <f t="shared" si="0"/>
        <v>204.39999999999998</v>
      </c>
      <c r="G31" s="46"/>
      <c r="H31" s="47"/>
      <c r="I31" s="47"/>
    </row>
    <row r="32" spans="1:9" x14ac:dyDescent="0.25">
      <c r="A32" s="179"/>
      <c r="C32" s="43" t="s">
        <v>432</v>
      </c>
      <c r="D32" s="26">
        <v>327</v>
      </c>
      <c r="E32" s="26">
        <f>E28</f>
        <v>798</v>
      </c>
      <c r="F32" s="152">
        <f t="shared" si="0"/>
        <v>246265.49999999997</v>
      </c>
      <c r="H32" t="s">
        <v>438</v>
      </c>
    </row>
    <row r="33" spans="1:9" x14ac:dyDescent="0.25">
      <c r="A33" s="179"/>
      <c r="C33" s="43" t="s">
        <v>41</v>
      </c>
      <c r="D33" s="26">
        <v>174.4</v>
      </c>
      <c r="E33" s="26">
        <f>E29</f>
        <v>247</v>
      </c>
      <c r="F33" s="152">
        <f t="shared" si="0"/>
        <v>113088.68</v>
      </c>
      <c r="H33" t="s">
        <v>439</v>
      </c>
    </row>
    <row r="34" spans="1:9" x14ac:dyDescent="0.25">
      <c r="A34" s="179"/>
      <c r="C34" s="43" t="s">
        <v>42</v>
      </c>
      <c r="D34" s="26">
        <v>54.500000000000007</v>
      </c>
      <c r="E34" s="26">
        <f>E30</f>
        <v>13</v>
      </c>
      <c r="F34" s="152">
        <f t="shared" si="0"/>
        <v>28780.250000000004</v>
      </c>
      <c r="H34" t="s">
        <v>35</v>
      </c>
    </row>
    <row r="35" spans="1:9" x14ac:dyDescent="0.25">
      <c r="A35" s="179"/>
      <c r="C35" s="45" t="s">
        <v>43</v>
      </c>
      <c r="D35" s="154">
        <v>10.9</v>
      </c>
      <c r="E35" s="154">
        <f>E31</f>
        <v>2</v>
      </c>
      <c r="F35" s="153">
        <f t="shared" si="0"/>
        <v>5694.7300000000005</v>
      </c>
      <c r="G35" s="46"/>
      <c r="H35" s="47"/>
      <c r="I35" s="47"/>
    </row>
    <row r="36" spans="1:9" ht="30" x14ac:dyDescent="0.25">
      <c r="A36" s="179"/>
      <c r="C36" s="43" t="s">
        <v>433</v>
      </c>
      <c r="D36" s="26">
        <f>D24</f>
        <v>150</v>
      </c>
      <c r="E36" s="26">
        <f>E28</f>
        <v>798</v>
      </c>
      <c r="F36" s="152">
        <f t="shared" si="0"/>
        <v>157110.59999999998</v>
      </c>
      <c r="H36" s="49" t="s">
        <v>45</v>
      </c>
    </row>
    <row r="37" spans="1:9" ht="30" x14ac:dyDescent="0.25">
      <c r="A37" s="179"/>
      <c r="C37" s="43" t="s">
        <v>44</v>
      </c>
      <c r="D37" s="26">
        <f>D25</f>
        <v>80</v>
      </c>
      <c r="E37" s="26">
        <f>E29</f>
        <v>247</v>
      </c>
      <c r="F37" s="152">
        <f t="shared" si="0"/>
        <v>65539.399999999994</v>
      </c>
      <c r="H37" s="49"/>
    </row>
    <row r="38" spans="1:9" ht="30" x14ac:dyDescent="0.25">
      <c r="A38" s="179"/>
      <c r="C38" s="45" t="s">
        <v>46</v>
      </c>
      <c r="D38" s="154">
        <f>D26</f>
        <v>25</v>
      </c>
      <c r="E38" s="154">
        <f>E30</f>
        <v>13</v>
      </c>
      <c r="F38" s="153">
        <f t="shared" si="0"/>
        <v>13921.099999999997</v>
      </c>
      <c r="G38" s="46"/>
      <c r="H38" s="46"/>
      <c r="I38" s="47"/>
    </row>
    <row r="39" spans="1:9" ht="15.75" thickBot="1" x14ac:dyDescent="0.3">
      <c r="C39" s="43"/>
      <c r="D39" s="26"/>
      <c r="E39" s="26"/>
    </row>
    <row r="40" spans="1:9" ht="45.75" thickTop="1" x14ac:dyDescent="0.25">
      <c r="C40" s="14" t="s">
        <v>47</v>
      </c>
      <c r="D40" s="44" t="s">
        <v>48</v>
      </c>
      <c r="E40" s="44" t="s">
        <v>49</v>
      </c>
      <c r="F40" s="44" t="s">
        <v>50</v>
      </c>
      <c r="G40" s="15"/>
      <c r="H40" s="18" t="s">
        <v>4</v>
      </c>
      <c r="I40" s="18"/>
    </row>
    <row r="41" spans="1:9" x14ac:dyDescent="0.25">
      <c r="C41" s="25" t="s">
        <v>24</v>
      </c>
      <c r="D41" s="83">
        <v>2.6</v>
      </c>
      <c r="E41" s="26">
        <f>D41*D19*365</f>
        <v>1328.6</v>
      </c>
      <c r="F41" s="26">
        <f>E41*$D$8</f>
        <v>531.43999999999994</v>
      </c>
      <c r="H41" t="s">
        <v>51</v>
      </c>
    </row>
    <row r="42" spans="1:9" x14ac:dyDescent="0.25">
      <c r="C42" s="25" t="s">
        <v>27</v>
      </c>
      <c r="D42" s="83">
        <v>3.2</v>
      </c>
      <c r="E42" s="26">
        <f>D42*D20*365</f>
        <v>1284.8000000000002</v>
      </c>
      <c r="F42" s="26">
        <f>E42*$D$8</f>
        <v>513.92000000000007</v>
      </c>
      <c r="H42" t="s">
        <v>52</v>
      </c>
    </row>
    <row r="43" spans="1:9" x14ac:dyDescent="0.25">
      <c r="C43" s="43"/>
      <c r="D43" s="26"/>
      <c r="E43" s="26"/>
      <c r="H43" t="s">
        <v>53</v>
      </c>
    </row>
    <row r="45" spans="1:9" ht="30.75" thickBot="1" x14ac:dyDescent="0.3">
      <c r="B45" s="35"/>
      <c r="C45" s="50" t="s">
        <v>54</v>
      </c>
      <c r="D45" s="51">
        <v>2025</v>
      </c>
      <c r="E45" s="51">
        <v>2030</v>
      </c>
      <c r="F45" s="51">
        <v>2040</v>
      </c>
      <c r="G45" s="51">
        <v>2050</v>
      </c>
      <c r="H45" s="50" t="s">
        <v>4</v>
      </c>
      <c r="I45" s="50" t="s">
        <v>5</v>
      </c>
    </row>
    <row r="46" spans="1:9" x14ac:dyDescent="0.25">
      <c r="A46" s="179"/>
      <c r="B46" s="35"/>
      <c r="C46" s="43" t="s">
        <v>430</v>
      </c>
      <c r="D46" s="48">
        <f t="shared" ref="D46:G60" si="1">-$F24*D$5/1000000</f>
        <v>-25.764254999999999</v>
      </c>
      <c r="E46" s="48">
        <f t="shared" si="1"/>
        <v>-21.230955000000002</v>
      </c>
      <c r="F46" s="48">
        <f t="shared" si="1"/>
        <v>-12.315465</v>
      </c>
      <c r="G46" s="48">
        <f t="shared" si="1"/>
        <v>-5.8177349999999999</v>
      </c>
      <c r="H46" s="49" t="s">
        <v>55</v>
      </c>
    </row>
    <row r="47" spans="1:9" x14ac:dyDescent="0.25">
      <c r="C47" s="43" t="s">
        <v>32</v>
      </c>
      <c r="D47" s="48">
        <f t="shared" si="1"/>
        <v>-13.740936</v>
      </c>
      <c r="E47" s="48">
        <f t="shared" si="1"/>
        <v>-11.323176</v>
      </c>
      <c r="F47" s="48">
        <f t="shared" si="1"/>
        <v>-6.5682479999999996</v>
      </c>
      <c r="G47" s="48">
        <f t="shared" si="1"/>
        <v>-3.102792</v>
      </c>
      <c r="H47" s="49"/>
    </row>
    <row r="48" spans="1:9" x14ac:dyDescent="0.25">
      <c r="C48" s="43" t="s">
        <v>34</v>
      </c>
      <c r="D48" s="48">
        <f t="shared" si="1"/>
        <v>-4.2940424999999989</v>
      </c>
      <c r="E48" s="48">
        <f t="shared" si="1"/>
        <v>-3.5384924999999994</v>
      </c>
      <c r="F48" s="48">
        <f t="shared" si="1"/>
        <v>-2.0525774999999999</v>
      </c>
      <c r="G48" s="48">
        <f t="shared" si="1"/>
        <v>-0.96962249999999983</v>
      </c>
    </row>
    <row r="49" spans="1:9" x14ac:dyDescent="0.25">
      <c r="C49" s="45" t="s">
        <v>36</v>
      </c>
      <c r="D49" s="151">
        <f t="shared" si="1"/>
        <v>-0.85880849999999997</v>
      </c>
      <c r="E49" s="151">
        <f t="shared" si="1"/>
        <v>-0.70769850000000001</v>
      </c>
      <c r="F49" s="151">
        <f t="shared" si="1"/>
        <v>-0.41051549999999998</v>
      </c>
      <c r="G49" s="151">
        <f t="shared" si="1"/>
        <v>-0.1939245</v>
      </c>
    </row>
    <row r="50" spans="1:9" ht="30" x14ac:dyDescent="0.25">
      <c r="A50" s="179"/>
      <c r="C50" s="43" t="s">
        <v>431</v>
      </c>
      <c r="D50" s="48">
        <f t="shared" si="1"/>
        <v>-27.810459599999998</v>
      </c>
      <c r="E50" s="48">
        <f t="shared" si="1"/>
        <v>-22.917123599999996</v>
      </c>
      <c r="F50" s="48">
        <f t="shared" si="1"/>
        <v>-13.293562799999998</v>
      </c>
      <c r="G50" s="48">
        <f t="shared" si="1"/>
        <v>-6.2797811999999995</v>
      </c>
    </row>
    <row r="51" spans="1:9" x14ac:dyDescent="0.25">
      <c r="A51" s="179"/>
      <c r="C51" s="43" t="s">
        <v>37</v>
      </c>
      <c r="D51" s="48">
        <f t="shared" si="1"/>
        <v>-8.6079993999999989</v>
      </c>
      <c r="E51" s="48">
        <f t="shared" si="1"/>
        <v>-7.0933953999999995</v>
      </c>
      <c r="F51" s="48">
        <f t="shared" si="1"/>
        <v>-4.1146741999999996</v>
      </c>
      <c r="G51" s="48">
        <f t="shared" si="1"/>
        <v>-1.9437417999999997</v>
      </c>
    </row>
    <row r="52" spans="1:9" ht="30" x14ac:dyDescent="0.25">
      <c r="A52" s="179"/>
      <c r="C52" s="43" t="s">
        <v>39</v>
      </c>
      <c r="D52" s="48">
        <f t="shared" si="1"/>
        <v>-0.45305260000000003</v>
      </c>
      <c r="E52" s="48">
        <f t="shared" si="1"/>
        <v>-0.37333660000000002</v>
      </c>
      <c r="F52" s="48">
        <f t="shared" si="1"/>
        <v>-0.21656180000000003</v>
      </c>
      <c r="G52" s="48">
        <f t="shared" si="1"/>
        <v>-0.10230220000000001</v>
      </c>
    </row>
    <row r="53" spans="1:9" x14ac:dyDescent="0.25">
      <c r="A53" s="179"/>
      <c r="C53" s="45" t="s">
        <v>40</v>
      </c>
      <c r="D53" s="151">
        <f t="shared" si="1"/>
        <v>-6.9700399999999996E-2</v>
      </c>
      <c r="E53" s="151">
        <f t="shared" si="1"/>
        <v>-5.7436399999999992E-2</v>
      </c>
      <c r="F53" s="151">
        <f t="shared" si="1"/>
        <v>-3.3317199999999998E-2</v>
      </c>
      <c r="G53" s="151">
        <f t="shared" si="1"/>
        <v>-1.5738799999999997E-2</v>
      </c>
    </row>
    <row r="54" spans="1:9" x14ac:dyDescent="0.25">
      <c r="A54" s="179"/>
      <c r="C54" s="43" t="s">
        <v>432</v>
      </c>
      <c r="D54" s="48">
        <f t="shared" si="1"/>
        <v>-83.976535499999983</v>
      </c>
      <c r="E54" s="48">
        <f t="shared" si="1"/>
        <v>-69.20060549999998</v>
      </c>
      <c r="F54" s="48">
        <f t="shared" si="1"/>
        <v>-40.141276499999989</v>
      </c>
      <c r="G54" s="48">
        <f t="shared" si="1"/>
        <v>-18.962443499999996</v>
      </c>
    </row>
    <row r="55" spans="1:9" x14ac:dyDescent="0.25">
      <c r="A55" s="179"/>
      <c r="C55" s="43" t="s">
        <v>41</v>
      </c>
      <c r="D55" s="48">
        <f t="shared" si="1"/>
        <v>-38.563239879999998</v>
      </c>
      <c r="E55" s="48">
        <f t="shared" si="1"/>
        <v>-31.777919079999997</v>
      </c>
      <c r="F55" s="48">
        <f t="shared" si="1"/>
        <v>-18.43345484</v>
      </c>
      <c r="G55" s="48">
        <f t="shared" si="1"/>
        <v>-8.7078283599999988</v>
      </c>
    </row>
    <row r="56" spans="1:9" x14ac:dyDescent="0.25">
      <c r="A56" s="179"/>
      <c r="C56" s="43" t="s">
        <v>42</v>
      </c>
      <c r="D56" s="48">
        <f t="shared" si="1"/>
        <v>-9.8140652500000023</v>
      </c>
      <c r="E56" s="48">
        <f t="shared" si="1"/>
        <v>-8.0872502500000003</v>
      </c>
      <c r="F56" s="48">
        <f t="shared" si="1"/>
        <v>-4.6911807500000009</v>
      </c>
      <c r="G56" s="48">
        <f t="shared" si="1"/>
        <v>-2.2160792500000004</v>
      </c>
    </row>
    <row r="57" spans="1:9" x14ac:dyDescent="0.25">
      <c r="A57" s="179"/>
      <c r="C57" s="45" t="s">
        <v>43</v>
      </c>
      <c r="D57" s="151">
        <f t="shared" si="1"/>
        <v>-1.9419029300000001</v>
      </c>
      <c r="E57" s="151">
        <f t="shared" si="1"/>
        <v>-1.6002191300000002</v>
      </c>
      <c r="F57" s="151">
        <f t="shared" si="1"/>
        <v>-0.92824099000000015</v>
      </c>
      <c r="G57" s="151">
        <f t="shared" si="1"/>
        <v>-0.43849421</v>
      </c>
    </row>
    <row r="58" spans="1:9" ht="30" x14ac:dyDescent="0.25">
      <c r="A58" s="179"/>
      <c r="C58" s="43" t="s">
        <v>433</v>
      </c>
      <c r="D58" s="48">
        <f t="shared" si="1"/>
        <v>-53.574714599999993</v>
      </c>
      <c r="E58" s="48">
        <f t="shared" si="1"/>
        <v>-44.148078599999991</v>
      </c>
      <c r="F58" s="48">
        <f t="shared" si="1"/>
        <v>-25.609027799999996</v>
      </c>
      <c r="G58" s="48">
        <f t="shared" si="1"/>
        <v>-12.097516199999998</v>
      </c>
    </row>
    <row r="59" spans="1:9" ht="30" x14ac:dyDescent="0.25">
      <c r="A59" s="179"/>
      <c r="C59" s="43" t="s">
        <v>44</v>
      </c>
      <c r="D59" s="48">
        <f t="shared" si="1"/>
        <v>-22.348935399999998</v>
      </c>
      <c r="E59" s="48">
        <f t="shared" si="1"/>
        <v>-18.416571399999999</v>
      </c>
      <c r="F59" s="48">
        <f t="shared" si="1"/>
        <v>-10.682922199999998</v>
      </c>
      <c r="G59" s="48">
        <f t="shared" si="1"/>
        <v>-5.0465337999999997</v>
      </c>
    </row>
    <row r="60" spans="1:9" ht="30" x14ac:dyDescent="0.25">
      <c r="A60" s="179"/>
      <c r="C60" s="45" t="s">
        <v>46</v>
      </c>
      <c r="D60" s="151">
        <f t="shared" si="1"/>
        <v>-4.7470950999999983</v>
      </c>
      <c r="E60" s="151">
        <f t="shared" si="1"/>
        <v>-3.9118290999999989</v>
      </c>
      <c r="F60" s="151">
        <f t="shared" si="1"/>
        <v>-2.2691392999999995</v>
      </c>
      <c r="G60" s="151">
        <f t="shared" si="1"/>
        <v>-1.0719246999999996</v>
      </c>
      <c r="H60" s="47"/>
      <c r="I60" s="47"/>
    </row>
    <row r="62" spans="1:9" ht="30.75" thickBot="1" x14ac:dyDescent="0.3">
      <c r="B62" s="35"/>
      <c r="C62" s="50" t="s">
        <v>56</v>
      </c>
      <c r="D62" s="51">
        <v>2025</v>
      </c>
      <c r="E62" s="51">
        <v>2030</v>
      </c>
      <c r="F62" s="51">
        <v>2040</v>
      </c>
      <c r="G62" s="51">
        <v>2050</v>
      </c>
      <c r="H62" s="50" t="s">
        <v>4</v>
      </c>
      <c r="I62" s="50" t="s">
        <v>5</v>
      </c>
    </row>
    <row r="63" spans="1:9" x14ac:dyDescent="0.25">
      <c r="C63" s="25" t="s">
        <v>24</v>
      </c>
      <c r="D63" s="48">
        <f>-$F41*D$5/1000000*100</f>
        <v>-18.122103999999997</v>
      </c>
      <c r="E63" s="48">
        <f t="shared" ref="D63:G64" si="2">-$F41*E$5/1000000*100</f>
        <v>-14.933463999999999</v>
      </c>
      <c r="F63" s="48">
        <f t="shared" si="2"/>
        <v>-8.6624719999999993</v>
      </c>
      <c r="G63" s="48">
        <f t="shared" si="2"/>
        <v>-4.0920880000000004</v>
      </c>
      <c r="H63" s="49" t="s">
        <v>55</v>
      </c>
    </row>
    <row r="64" spans="1:9" x14ac:dyDescent="0.25">
      <c r="C64" s="25" t="s">
        <v>27</v>
      </c>
      <c r="D64" s="48">
        <f t="shared" si="2"/>
        <v>-17.524672000000002</v>
      </c>
      <c r="E64" s="48">
        <f t="shared" si="2"/>
        <v>-14.441152000000002</v>
      </c>
      <c r="F64" s="48">
        <f t="shared" si="2"/>
        <v>-8.3768960000000003</v>
      </c>
      <c r="G64" s="48">
        <f t="shared" si="2"/>
        <v>-3.9571840000000003</v>
      </c>
      <c r="H64" s="49"/>
    </row>
    <row r="65" spans="1:9" ht="15.75" thickBot="1" x14ac:dyDescent="0.3">
      <c r="C65" s="86" t="s">
        <v>57</v>
      </c>
      <c r="D65" s="87">
        <v>2025</v>
      </c>
      <c r="E65" s="87">
        <v>2030</v>
      </c>
      <c r="F65" s="87">
        <v>2040</v>
      </c>
      <c r="G65" s="87">
        <v>2050</v>
      </c>
      <c r="H65" s="87"/>
      <c r="I65" s="87"/>
    </row>
    <row r="66" spans="1:9" x14ac:dyDescent="0.25">
      <c r="A66" s="179"/>
      <c r="C66" s="43" t="s">
        <v>430</v>
      </c>
      <c r="D66" s="52">
        <f t="shared" ref="D66:G80" si="3">MAX(-ROUND(D46,0),1)</f>
        <v>26</v>
      </c>
      <c r="E66" s="52">
        <f t="shared" si="3"/>
        <v>21</v>
      </c>
      <c r="F66" s="52">
        <f t="shared" si="3"/>
        <v>12</v>
      </c>
      <c r="G66" s="52">
        <f t="shared" si="3"/>
        <v>6</v>
      </c>
      <c r="H66" t="s">
        <v>58</v>
      </c>
    </row>
    <row r="67" spans="1:9" x14ac:dyDescent="0.25">
      <c r="C67" s="43" t="s">
        <v>32</v>
      </c>
      <c r="D67" s="52">
        <f t="shared" si="3"/>
        <v>14</v>
      </c>
      <c r="E67" s="52">
        <f t="shared" si="3"/>
        <v>11</v>
      </c>
      <c r="F67" s="52">
        <f t="shared" si="3"/>
        <v>7</v>
      </c>
      <c r="G67" s="52">
        <f t="shared" si="3"/>
        <v>3</v>
      </c>
      <c r="H67"/>
    </row>
    <row r="68" spans="1:9" x14ac:dyDescent="0.25">
      <c r="C68" s="43" t="s">
        <v>34</v>
      </c>
      <c r="D68" s="52">
        <f t="shared" si="3"/>
        <v>4</v>
      </c>
      <c r="E68" s="52">
        <f t="shared" si="3"/>
        <v>4</v>
      </c>
      <c r="F68" s="52">
        <f t="shared" si="3"/>
        <v>2</v>
      </c>
      <c r="G68" s="52">
        <f t="shared" si="3"/>
        <v>1</v>
      </c>
    </row>
    <row r="69" spans="1:9" x14ac:dyDescent="0.25">
      <c r="C69" s="45" t="s">
        <v>36</v>
      </c>
      <c r="D69" s="53">
        <f t="shared" si="3"/>
        <v>1</v>
      </c>
      <c r="E69" s="53">
        <f t="shared" si="3"/>
        <v>1</v>
      </c>
      <c r="F69" s="53">
        <f t="shared" si="3"/>
        <v>1</v>
      </c>
      <c r="G69" s="53">
        <f t="shared" si="3"/>
        <v>1</v>
      </c>
    </row>
    <row r="70" spans="1:9" ht="30" x14ac:dyDescent="0.25">
      <c r="A70" s="179"/>
      <c r="C70" s="43" t="s">
        <v>431</v>
      </c>
      <c r="D70" s="52">
        <f t="shared" si="3"/>
        <v>28</v>
      </c>
      <c r="E70" s="52">
        <f t="shared" si="3"/>
        <v>23</v>
      </c>
      <c r="F70" s="52">
        <f t="shared" si="3"/>
        <v>13</v>
      </c>
      <c r="G70" s="52">
        <f t="shared" si="3"/>
        <v>6</v>
      </c>
    </row>
    <row r="71" spans="1:9" x14ac:dyDescent="0.25">
      <c r="A71" s="179"/>
      <c r="C71" s="43" t="s">
        <v>37</v>
      </c>
      <c r="D71" s="52">
        <f t="shared" si="3"/>
        <v>9</v>
      </c>
      <c r="E71" s="52">
        <f t="shared" si="3"/>
        <v>7</v>
      </c>
      <c r="F71" s="52">
        <f t="shared" si="3"/>
        <v>4</v>
      </c>
      <c r="G71" s="52">
        <f t="shared" si="3"/>
        <v>2</v>
      </c>
    </row>
    <row r="72" spans="1:9" ht="30" x14ac:dyDescent="0.25">
      <c r="A72" s="179"/>
      <c r="C72" s="43" t="s">
        <v>39</v>
      </c>
      <c r="D72" s="52">
        <f t="shared" si="3"/>
        <v>1</v>
      </c>
      <c r="E72" s="52">
        <f t="shared" si="3"/>
        <v>1</v>
      </c>
      <c r="F72" s="52">
        <f t="shared" si="3"/>
        <v>1</v>
      </c>
      <c r="G72" s="52">
        <f t="shared" si="3"/>
        <v>1</v>
      </c>
    </row>
    <row r="73" spans="1:9" x14ac:dyDescent="0.25">
      <c r="A73" s="179"/>
      <c r="C73" s="45" t="s">
        <v>40</v>
      </c>
      <c r="D73" s="53">
        <f t="shared" si="3"/>
        <v>1</v>
      </c>
      <c r="E73" s="53">
        <f t="shared" si="3"/>
        <v>1</v>
      </c>
      <c r="F73" s="53">
        <f t="shared" si="3"/>
        <v>1</v>
      </c>
      <c r="G73" s="53">
        <f t="shared" si="3"/>
        <v>1</v>
      </c>
    </row>
    <row r="74" spans="1:9" x14ac:dyDescent="0.25">
      <c r="A74" s="179"/>
      <c r="C74" s="43" t="s">
        <v>432</v>
      </c>
      <c r="D74" s="52">
        <f t="shared" si="3"/>
        <v>84</v>
      </c>
      <c r="E74" s="52">
        <f t="shared" si="3"/>
        <v>69</v>
      </c>
      <c r="F74" s="52">
        <f t="shared" si="3"/>
        <v>40</v>
      </c>
      <c r="G74" s="52">
        <f t="shared" si="3"/>
        <v>19</v>
      </c>
    </row>
    <row r="75" spans="1:9" x14ac:dyDescent="0.25">
      <c r="A75" s="179"/>
      <c r="C75" s="43" t="s">
        <v>41</v>
      </c>
      <c r="D75" s="52">
        <f t="shared" si="3"/>
        <v>39</v>
      </c>
      <c r="E75" s="52">
        <f t="shared" si="3"/>
        <v>32</v>
      </c>
      <c r="F75" s="52">
        <f t="shared" si="3"/>
        <v>18</v>
      </c>
      <c r="G75" s="52">
        <f t="shared" si="3"/>
        <v>9</v>
      </c>
    </row>
    <row r="76" spans="1:9" x14ac:dyDescent="0.25">
      <c r="A76" s="179"/>
      <c r="C76" s="43" t="s">
        <v>42</v>
      </c>
      <c r="D76" s="52">
        <f t="shared" si="3"/>
        <v>10</v>
      </c>
      <c r="E76" s="52">
        <f t="shared" si="3"/>
        <v>8</v>
      </c>
      <c r="F76" s="52">
        <f t="shared" si="3"/>
        <v>5</v>
      </c>
      <c r="G76" s="52">
        <f t="shared" si="3"/>
        <v>2</v>
      </c>
    </row>
    <row r="77" spans="1:9" x14ac:dyDescent="0.25">
      <c r="A77" s="179"/>
      <c r="C77" s="45" t="s">
        <v>43</v>
      </c>
      <c r="D77" s="53">
        <f t="shared" si="3"/>
        <v>2</v>
      </c>
      <c r="E77" s="53">
        <f t="shared" si="3"/>
        <v>2</v>
      </c>
      <c r="F77" s="53">
        <f t="shared" si="3"/>
        <v>1</v>
      </c>
      <c r="G77" s="53">
        <f t="shared" si="3"/>
        <v>1</v>
      </c>
    </row>
    <row r="78" spans="1:9" ht="30" x14ac:dyDescent="0.25">
      <c r="A78" s="179"/>
      <c r="C78" s="43" t="s">
        <v>433</v>
      </c>
      <c r="D78" s="52">
        <f t="shared" si="3"/>
        <v>54</v>
      </c>
      <c r="E78" s="52">
        <f t="shared" si="3"/>
        <v>44</v>
      </c>
      <c r="F78" s="52">
        <f t="shared" si="3"/>
        <v>26</v>
      </c>
      <c r="G78" s="52">
        <f t="shared" si="3"/>
        <v>12</v>
      </c>
    </row>
    <row r="79" spans="1:9" ht="30" x14ac:dyDescent="0.25">
      <c r="A79" s="179"/>
      <c r="C79" s="43" t="s">
        <v>44</v>
      </c>
      <c r="D79" s="52">
        <f t="shared" si="3"/>
        <v>22</v>
      </c>
      <c r="E79" s="52">
        <f t="shared" si="3"/>
        <v>18</v>
      </c>
      <c r="F79" s="52">
        <f t="shared" si="3"/>
        <v>11</v>
      </c>
      <c r="G79" s="52">
        <f t="shared" si="3"/>
        <v>5</v>
      </c>
    </row>
    <row r="80" spans="1:9" ht="30" x14ac:dyDescent="0.25">
      <c r="A80" s="179"/>
      <c r="C80" s="45" t="s">
        <v>46</v>
      </c>
      <c r="D80" s="53">
        <f t="shared" si="3"/>
        <v>5</v>
      </c>
      <c r="E80" s="53">
        <f t="shared" si="3"/>
        <v>4</v>
      </c>
      <c r="F80" s="53">
        <f t="shared" si="3"/>
        <v>2</v>
      </c>
      <c r="G80" s="53">
        <f t="shared" si="3"/>
        <v>1</v>
      </c>
      <c r="H80" s="47"/>
      <c r="I80" s="47"/>
    </row>
    <row r="81" spans="3:9" x14ac:dyDescent="0.25">
      <c r="C81" s="43"/>
      <c r="D81" s="43"/>
      <c r="E81" s="43"/>
      <c r="F81" s="43"/>
      <c r="G81" s="43"/>
      <c r="H81" s="43"/>
    </row>
    <row r="82" spans="3:9" ht="15.75" thickBot="1" x14ac:dyDescent="0.3">
      <c r="C82" s="86" t="s">
        <v>59</v>
      </c>
      <c r="D82" s="87">
        <v>2025</v>
      </c>
      <c r="E82" s="87">
        <v>2030</v>
      </c>
      <c r="F82" s="87">
        <v>2040</v>
      </c>
      <c r="G82" s="87">
        <v>2050</v>
      </c>
      <c r="H82" s="87"/>
      <c r="I82" s="87"/>
    </row>
    <row r="83" spans="3:9" x14ac:dyDescent="0.25">
      <c r="C83" s="25" t="s">
        <v>24</v>
      </c>
      <c r="D83" s="85">
        <f t="shared" ref="D83:G84" si="4">MAX(-ROUND(D63,0),1)</f>
        <v>18</v>
      </c>
      <c r="E83" s="85">
        <f t="shared" si="4"/>
        <v>15</v>
      </c>
      <c r="F83" s="85">
        <f t="shared" si="4"/>
        <v>9</v>
      </c>
      <c r="G83" s="85">
        <f t="shared" si="4"/>
        <v>4</v>
      </c>
    </row>
    <row r="84" spans="3:9" x14ac:dyDescent="0.25">
      <c r="C84" s="84" t="s">
        <v>27</v>
      </c>
      <c r="D84" s="53">
        <f t="shared" si="4"/>
        <v>18</v>
      </c>
      <c r="E84" s="53">
        <f t="shared" si="4"/>
        <v>14</v>
      </c>
      <c r="F84" s="53">
        <f t="shared" si="4"/>
        <v>8</v>
      </c>
      <c r="G84" s="53">
        <f t="shared" si="4"/>
        <v>4</v>
      </c>
      <c r="H84" s="47"/>
      <c r="I84" s="47"/>
    </row>
  </sheetData>
  <pageMargins left="0.7" right="0.7" top="0.75" bottom="0.75" header="0.3" footer="0.3"/>
  <pageSetup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7B5E3-E51F-4905-8EA4-9DB6B60F22E6}">
  <dimension ref="A1:R99"/>
  <sheetViews>
    <sheetView tabSelected="1" zoomScaleNormal="100" workbookViewId="0">
      <pane ySplit="3" topLeftCell="A4" activePane="bottomLeft" state="frozen"/>
      <selection pane="bottomLeft" activeCell="M17" sqref="M17"/>
    </sheetView>
  </sheetViews>
  <sheetFormatPr defaultRowHeight="15" x14ac:dyDescent="0.25"/>
  <cols>
    <col min="1" max="1" width="2.5703125" customWidth="1"/>
    <col min="2" max="2" width="4.42578125" style="3" customWidth="1"/>
    <col min="3" max="3" width="38.5703125" style="2" customWidth="1"/>
    <col min="4" max="4" width="8.140625" style="73" hidden="1" customWidth="1"/>
    <col min="5" max="5" width="15.42578125" customWidth="1"/>
    <col min="6" max="8" width="11.28515625" customWidth="1"/>
    <col min="9" max="9" width="58.7109375" style="2" customWidth="1"/>
    <col min="10" max="10" width="12.28515625" bestFit="1" customWidth="1"/>
    <col min="11" max="11" width="14.140625" customWidth="1"/>
    <col min="12" max="12" width="14.42578125" customWidth="1"/>
    <col min="13" max="13" width="10.42578125" customWidth="1"/>
    <col min="14" max="17" width="9" bestFit="1" customWidth="1"/>
  </cols>
  <sheetData>
    <row r="1" spans="2:18" ht="15.75" thickTop="1" x14ac:dyDescent="0.25">
      <c r="B1" s="28" t="s">
        <v>60</v>
      </c>
      <c r="C1" s="28"/>
      <c r="D1" s="72"/>
      <c r="E1" s="28"/>
      <c r="F1" s="28"/>
      <c r="G1" s="29"/>
      <c r="H1" s="29"/>
      <c r="I1" s="30"/>
    </row>
    <row r="2" spans="2:18" x14ac:dyDescent="0.25">
      <c r="E2" s="95" t="s">
        <v>1</v>
      </c>
      <c r="F2" s="95"/>
      <c r="G2" s="95"/>
      <c r="H2" s="95"/>
    </row>
    <row r="3" spans="2:18" ht="15.75" thickBot="1" x14ac:dyDescent="0.3">
      <c r="B3" s="35" t="s">
        <v>2</v>
      </c>
      <c r="C3" s="17" t="s">
        <v>3</v>
      </c>
      <c r="D3" s="74">
        <v>2019</v>
      </c>
      <c r="E3" s="13">
        <v>2025</v>
      </c>
      <c r="F3" s="13">
        <v>2030</v>
      </c>
      <c r="G3" s="13">
        <v>2040</v>
      </c>
      <c r="H3" s="13">
        <v>2050</v>
      </c>
      <c r="I3" s="17" t="s">
        <v>61</v>
      </c>
    </row>
    <row r="4" spans="2:18" ht="15.75" thickTop="1" x14ac:dyDescent="0.25">
      <c r="B4" s="36"/>
      <c r="C4" s="14" t="s">
        <v>6</v>
      </c>
      <c r="D4" s="75"/>
      <c r="E4" s="14"/>
      <c r="F4" s="14"/>
      <c r="G4" s="15"/>
      <c r="H4" s="15"/>
      <c r="I4" s="16"/>
    </row>
    <row r="5" spans="2:18" x14ac:dyDescent="0.25">
      <c r="B5" s="38"/>
      <c r="C5" s="39" t="s">
        <v>62</v>
      </c>
      <c r="D5" s="76"/>
      <c r="E5" s="40"/>
      <c r="F5" s="40"/>
      <c r="G5" s="40"/>
      <c r="H5" s="40"/>
      <c r="I5" s="41"/>
      <c r="M5" s="1"/>
    </row>
    <row r="6" spans="2:18" x14ac:dyDescent="0.25">
      <c r="B6" s="3" t="s">
        <v>63</v>
      </c>
      <c r="C6" s="20" t="s">
        <v>64</v>
      </c>
      <c r="D6" s="77"/>
      <c r="E6" s="4">
        <v>13</v>
      </c>
      <c r="F6" s="5">
        <f t="shared" ref="F6:H6" si="0">E6</f>
        <v>13</v>
      </c>
      <c r="G6" s="5">
        <f t="shared" si="0"/>
        <v>13</v>
      </c>
      <c r="H6" s="5">
        <f t="shared" si="0"/>
        <v>13</v>
      </c>
      <c r="I6" s="6" t="s">
        <v>65</v>
      </c>
      <c r="N6" s="83"/>
    </row>
    <row r="7" spans="2:18" x14ac:dyDescent="0.25">
      <c r="B7" s="3" t="s">
        <v>66</v>
      </c>
      <c r="C7" s="20" t="s">
        <v>67</v>
      </c>
      <c r="D7" s="77"/>
      <c r="E7" s="4">
        <v>13.7</v>
      </c>
      <c r="F7" s="5">
        <f>E7</f>
        <v>13.7</v>
      </c>
      <c r="G7" s="5">
        <f>F7</f>
        <v>13.7</v>
      </c>
      <c r="H7" s="5">
        <f>G7</f>
        <v>13.7</v>
      </c>
      <c r="I7" s="6" t="s">
        <v>65</v>
      </c>
      <c r="N7" s="83"/>
    </row>
    <row r="8" spans="2:18" x14ac:dyDescent="0.25">
      <c r="L8" s="201" t="s">
        <v>675</v>
      </c>
      <c r="N8" s="83"/>
    </row>
    <row r="9" spans="2:18" x14ac:dyDescent="0.25">
      <c r="B9" s="38"/>
      <c r="C9" s="39" t="s">
        <v>68</v>
      </c>
      <c r="D9" s="76"/>
      <c r="E9" s="91"/>
      <c r="F9" s="91"/>
      <c r="G9" s="91"/>
      <c r="H9" s="91"/>
      <c r="I9" s="41"/>
      <c r="L9" s="202">
        <v>2050</v>
      </c>
      <c r="N9" s="83"/>
    </row>
    <row r="10" spans="2:18" x14ac:dyDescent="0.25">
      <c r="B10" s="3" t="s">
        <v>11</v>
      </c>
      <c r="C10" s="20" t="s">
        <v>64</v>
      </c>
      <c r="D10" s="77"/>
      <c r="E10" s="4">
        <v>11.5</v>
      </c>
      <c r="F10" s="5">
        <f t="shared" ref="F10:H11" si="1">E10</f>
        <v>11.5</v>
      </c>
      <c r="G10" s="5">
        <f t="shared" si="1"/>
        <v>11.5</v>
      </c>
      <c r="H10" s="5">
        <f t="shared" si="1"/>
        <v>11.5</v>
      </c>
      <c r="I10" s="6" t="s">
        <v>69</v>
      </c>
      <c r="N10" s="83"/>
    </row>
    <row r="11" spans="2:18" x14ac:dyDescent="0.25">
      <c r="B11" s="3" t="s">
        <v>14</v>
      </c>
      <c r="C11" s="20" t="s">
        <v>67</v>
      </c>
      <c r="D11" s="77"/>
      <c r="E11" s="4">
        <v>3.5</v>
      </c>
      <c r="F11" s="5">
        <f t="shared" si="1"/>
        <v>3.5</v>
      </c>
      <c r="G11" s="5">
        <f t="shared" si="1"/>
        <v>3.5</v>
      </c>
      <c r="H11" s="5">
        <f t="shared" si="1"/>
        <v>3.5</v>
      </c>
      <c r="I11" s="6" t="s">
        <v>65</v>
      </c>
      <c r="M11" t="s">
        <v>673</v>
      </c>
    </row>
    <row r="12" spans="2:18" x14ac:dyDescent="0.25">
      <c r="B12" s="38"/>
      <c r="C12" s="39" t="s">
        <v>70</v>
      </c>
      <c r="D12" s="76"/>
      <c r="E12" s="91"/>
      <c r="F12" s="91"/>
      <c r="G12" s="91"/>
      <c r="H12" s="91"/>
      <c r="I12" s="41"/>
      <c r="L12" s="199" t="s">
        <v>674</v>
      </c>
      <c r="M12" s="198">
        <v>2025</v>
      </c>
      <c r="N12" s="198">
        <v>2030</v>
      </c>
      <c r="O12" s="198">
        <v>2040</v>
      </c>
      <c r="P12" s="198">
        <v>2050</v>
      </c>
    </row>
    <row r="13" spans="2:18" x14ac:dyDescent="0.25">
      <c r="B13" s="3" t="s">
        <v>18</v>
      </c>
      <c r="C13" s="20" t="s">
        <v>64</v>
      </c>
      <c r="D13" s="78">
        <f>[1]Baseline!$M$106*1000</f>
        <v>2804.6345621746009</v>
      </c>
      <c r="E13" s="7">
        <f>IF($L$9=2050,M14,M13)</f>
        <v>2274.1155087371876</v>
      </c>
      <c r="F13" s="7">
        <f t="shared" ref="F13:H13" si="2">IF($L$9=2050,N14,N13)</f>
        <v>1666.2678120093035</v>
      </c>
      <c r="G13" s="7">
        <f t="shared" si="2"/>
        <v>742.87773285414789</v>
      </c>
      <c r="H13" s="7">
        <f t="shared" si="2"/>
        <v>0</v>
      </c>
      <c r="I13" s="6" t="s">
        <v>71</v>
      </c>
      <c r="L13" s="141">
        <v>2033</v>
      </c>
      <c r="M13" s="7"/>
      <c r="N13" s="7"/>
      <c r="O13" s="7">
        <f>[2]Emissions!$W13</f>
        <v>0</v>
      </c>
      <c r="P13" s="7">
        <f>[2]Emissions!$AG13</f>
        <v>0</v>
      </c>
    </row>
    <row r="14" spans="2:18" ht="30" x14ac:dyDescent="0.25">
      <c r="B14" s="3" t="s">
        <v>21</v>
      </c>
      <c r="C14" s="20" t="s">
        <v>67</v>
      </c>
      <c r="D14" s="79">
        <f>[1]Baseline!$M$104*1000</f>
        <v>1115.9900448615317</v>
      </c>
      <c r="E14" s="60">
        <f>$D14*E13/$D13</f>
        <v>904.89160436222437</v>
      </c>
      <c r="F14" s="60">
        <f>$D14*F13/$D13</f>
        <v>663.02338114017164</v>
      </c>
      <c r="G14" s="60">
        <f>$D14*G13/$D13</f>
        <v>295.59792409165993</v>
      </c>
      <c r="H14" s="60">
        <f>$D14*H13/$D13</f>
        <v>0</v>
      </c>
      <c r="I14" s="2" t="s">
        <v>72</v>
      </c>
      <c r="L14" s="200">
        <v>2050</v>
      </c>
      <c r="M14" s="7">
        <f>[2]Emissions!$H14</f>
        <v>2274.1155087371876</v>
      </c>
      <c r="N14" s="7">
        <f>[2]Emissions!$M14</f>
        <v>1666.2678120093035</v>
      </c>
      <c r="O14" s="7">
        <f>[2]Emissions!$W14</f>
        <v>742.87773285414789</v>
      </c>
      <c r="P14" s="7">
        <f>[2]Emissions!$AG14</f>
        <v>0</v>
      </c>
      <c r="Q14" s="137"/>
      <c r="R14" s="137"/>
    </row>
    <row r="15" spans="2:18" x14ac:dyDescent="0.25">
      <c r="B15" s="3" t="s">
        <v>23</v>
      </c>
      <c r="C15" s="20" t="s">
        <v>73</v>
      </c>
      <c r="D15" s="77"/>
      <c r="E15" s="7">
        <v>341</v>
      </c>
      <c r="F15" s="185">
        <v>281</v>
      </c>
      <c r="G15" s="185">
        <v>163</v>
      </c>
      <c r="H15" s="185">
        <v>77</v>
      </c>
      <c r="I15" s="6" t="s">
        <v>9</v>
      </c>
      <c r="N15" s="83"/>
    </row>
    <row r="16" spans="2:18" x14ac:dyDescent="0.25">
      <c r="B16" s="3" t="s">
        <v>26</v>
      </c>
      <c r="C16" s="20" t="s">
        <v>598</v>
      </c>
      <c r="D16" s="77"/>
      <c r="E16" s="7">
        <f>E13/2</f>
        <v>1137.0577543685938</v>
      </c>
      <c r="F16" s="7">
        <f>F13/2</f>
        <v>833.13390600465175</v>
      </c>
      <c r="G16" s="7">
        <f>G13/2</f>
        <v>371.43886642707395</v>
      </c>
      <c r="H16" s="7">
        <f>H13/2</f>
        <v>0</v>
      </c>
      <c r="I16" s="6" t="s">
        <v>599</v>
      </c>
      <c r="N16" s="83"/>
    </row>
    <row r="17" spans="2:14" x14ac:dyDescent="0.25">
      <c r="B17" s="38"/>
      <c r="C17" s="39" t="s">
        <v>74</v>
      </c>
      <c r="D17" s="76"/>
      <c r="E17" s="91"/>
      <c r="F17" s="91"/>
      <c r="G17" s="91"/>
      <c r="H17" s="91"/>
      <c r="I17" s="41"/>
      <c r="N17" s="83"/>
    </row>
    <row r="18" spans="2:14" x14ac:dyDescent="0.25">
      <c r="B18" s="3" t="s">
        <v>28</v>
      </c>
      <c r="C18" s="20" t="s">
        <v>64</v>
      </c>
      <c r="D18" s="78">
        <v>7151</v>
      </c>
      <c r="E18" s="7">
        <f>$D18*E13/$D13</f>
        <v>5798.3311702365145</v>
      </c>
      <c r="F18" s="7">
        <f>$D18*F13/$D13</f>
        <v>4248.4968574443237</v>
      </c>
      <c r="G18" s="7">
        <f>$D18*G13/$D13</f>
        <v>1894.1215156105948</v>
      </c>
      <c r="H18" s="7">
        <f>$D18*H13/$D13</f>
        <v>0</v>
      </c>
      <c r="I18" s="6" t="s">
        <v>75</v>
      </c>
      <c r="N18" s="83"/>
    </row>
    <row r="19" spans="2:14" x14ac:dyDescent="0.25">
      <c r="B19" s="3" t="s">
        <v>193</v>
      </c>
      <c r="C19" s="6" t="s">
        <v>76</v>
      </c>
      <c r="D19" s="80"/>
      <c r="E19" s="8">
        <v>0.6</v>
      </c>
      <c r="F19" s="9">
        <f t="shared" ref="F19:H20" si="3">E19</f>
        <v>0.6</v>
      </c>
      <c r="G19" s="9">
        <f t="shared" si="3"/>
        <v>0.6</v>
      </c>
      <c r="H19" s="9">
        <f t="shared" si="3"/>
        <v>0.6</v>
      </c>
      <c r="I19" s="6" t="s">
        <v>77</v>
      </c>
    </row>
    <row r="20" spans="2:14" ht="30" x14ac:dyDescent="0.25">
      <c r="B20" s="3" t="s">
        <v>194</v>
      </c>
      <c r="C20" s="6" t="s">
        <v>605</v>
      </c>
      <c r="D20" s="80"/>
      <c r="E20" s="8">
        <v>0.8</v>
      </c>
      <c r="F20" s="9">
        <f t="shared" si="3"/>
        <v>0.8</v>
      </c>
      <c r="G20" s="9">
        <f t="shared" si="3"/>
        <v>0.8</v>
      </c>
      <c r="H20" s="9">
        <f t="shared" si="3"/>
        <v>0.8</v>
      </c>
      <c r="I20" s="6"/>
    </row>
    <row r="21" spans="2:14" x14ac:dyDescent="0.25">
      <c r="B21" s="38"/>
      <c r="C21" s="39" t="s">
        <v>582</v>
      </c>
      <c r="D21" s="76"/>
      <c r="E21" s="38"/>
      <c r="F21" s="38"/>
      <c r="G21" s="38"/>
      <c r="H21" s="38"/>
      <c r="I21" s="41"/>
    </row>
    <row r="22" spans="2:14" x14ac:dyDescent="0.25">
      <c r="B22" s="3" t="s">
        <v>78</v>
      </c>
      <c r="C22" s="20" t="s">
        <v>64</v>
      </c>
      <c r="D22" s="77"/>
      <c r="E22" s="4">
        <v>4.5199999999999996</v>
      </c>
      <c r="F22" s="5">
        <f t="shared" ref="F22:H24" si="4">E22</f>
        <v>4.5199999999999996</v>
      </c>
      <c r="G22" s="5">
        <f t="shared" si="4"/>
        <v>4.5199999999999996</v>
      </c>
      <c r="H22" s="5">
        <f t="shared" si="4"/>
        <v>4.5199999999999996</v>
      </c>
      <c r="I22" s="2" t="s">
        <v>583</v>
      </c>
    </row>
    <row r="23" spans="2:14" x14ac:dyDescent="0.25">
      <c r="B23" s="3" t="s">
        <v>79</v>
      </c>
      <c r="C23" s="20" t="s">
        <v>67</v>
      </c>
      <c r="D23" s="77"/>
      <c r="E23" s="4">
        <f>E22</f>
        <v>4.5199999999999996</v>
      </c>
      <c r="F23" s="5">
        <f t="shared" si="4"/>
        <v>4.5199999999999996</v>
      </c>
      <c r="G23" s="5">
        <f t="shared" si="4"/>
        <v>4.5199999999999996</v>
      </c>
      <c r="H23" s="5">
        <f t="shared" si="4"/>
        <v>4.5199999999999996</v>
      </c>
      <c r="I23" s="2" t="s">
        <v>80</v>
      </c>
    </row>
    <row r="24" spans="2:14" x14ac:dyDescent="0.25">
      <c r="B24" s="3" t="s">
        <v>81</v>
      </c>
      <c r="C24" s="25" t="s">
        <v>29</v>
      </c>
      <c r="D24" s="81"/>
      <c r="E24" s="92">
        <v>300</v>
      </c>
      <c r="F24" s="27">
        <f t="shared" si="4"/>
        <v>300</v>
      </c>
      <c r="G24" s="27">
        <f t="shared" si="4"/>
        <v>300</v>
      </c>
      <c r="H24" s="27">
        <f t="shared" si="4"/>
        <v>300</v>
      </c>
      <c r="K24" s="1"/>
    </row>
    <row r="25" spans="2:14" ht="15.75" thickBot="1" x14ac:dyDescent="0.3">
      <c r="C25" s="6"/>
      <c r="D25" s="80"/>
      <c r="E25" s="35"/>
      <c r="F25" s="35"/>
      <c r="G25" s="35"/>
      <c r="H25" s="35"/>
      <c r="K25" s="69"/>
    </row>
    <row r="26" spans="2:14" ht="15.75" thickTop="1" x14ac:dyDescent="0.25">
      <c r="C26" s="14" t="s">
        <v>659</v>
      </c>
      <c r="D26" s="75"/>
      <c r="E26" s="36"/>
      <c r="F26" s="36"/>
      <c r="G26" s="93"/>
      <c r="H26" s="93"/>
      <c r="I26" s="18" t="s">
        <v>82</v>
      </c>
      <c r="K26" s="152"/>
    </row>
    <row r="27" spans="2:14" x14ac:dyDescent="0.25">
      <c r="C27" s="6" t="s">
        <v>83</v>
      </c>
      <c r="D27" s="80"/>
      <c r="E27" s="3"/>
      <c r="F27" s="3"/>
      <c r="G27" s="3"/>
      <c r="H27" s="3"/>
      <c r="I27" s="6"/>
    </row>
    <row r="28" spans="2:14" x14ac:dyDescent="0.25">
      <c r="C28" s="20" t="s">
        <v>84</v>
      </c>
      <c r="D28" s="77"/>
      <c r="E28" s="11">
        <f>-1000*E6*E10*E19*E15/1000000</f>
        <v>-30.587700000000002</v>
      </c>
      <c r="F28" s="11">
        <f>-1000*F6*F10*F19*F15/1000000</f>
        <v>-25.2057</v>
      </c>
      <c r="G28" s="11">
        <f>-1000*G6*G10*G19*G15/1000000</f>
        <v>-14.6211</v>
      </c>
      <c r="H28" s="11">
        <f>-1000*H6*H10*H19*H15/1000000</f>
        <v>-6.9069000000000003</v>
      </c>
      <c r="I28" s="34" t="s">
        <v>398</v>
      </c>
      <c r="K28" s="83"/>
    </row>
    <row r="29" spans="2:14" x14ac:dyDescent="0.25">
      <c r="C29" s="20" t="s">
        <v>86</v>
      </c>
      <c r="D29" s="77"/>
      <c r="E29" s="10">
        <f>1000*E13*E6/1000000</f>
        <v>29.563501613583441</v>
      </c>
      <c r="F29" s="10">
        <f>1000*F13*F6/1000000</f>
        <v>21.661481556120947</v>
      </c>
      <c r="G29" s="10">
        <f>1000*G13*G6/1000000</f>
        <v>9.6574105271039237</v>
      </c>
      <c r="H29" s="10">
        <f>1000*H13*H6/1000000</f>
        <v>0</v>
      </c>
      <c r="I29" s="34" t="s">
        <v>399</v>
      </c>
    </row>
    <row r="30" spans="2:14" x14ac:dyDescent="0.25">
      <c r="C30" s="20" t="s">
        <v>87</v>
      </c>
      <c r="D30" s="77"/>
      <c r="E30" s="10">
        <v>0</v>
      </c>
      <c r="F30" s="10">
        <v>0</v>
      </c>
      <c r="G30" s="10">
        <v>0</v>
      </c>
      <c r="H30" s="10">
        <v>0</v>
      </c>
      <c r="I30" s="34"/>
    </row>
    <row r="31" spans="2:14" x14ac:dyDescent="0.25">
      <c r="C31" s="20" t="s">
        <v>88</v>
      </c>
      <c r="D31" s="77"/>
      <c r="E31" s="10">
        <f>E29+E28</f>
        <v>-1.0241983864165611</v>
      </c>
      <c r="F31" s="10">
        <f>F29+F28</f>
        <v>-3.5442184438790534</v>
      </c>
      <c r="G31" s="10">
        <f>G29+G28</f>
        <v>-4.9636894728960765</v>
      </c>
      <c r="H31" s="10">
        <f>H29+H28</f>
        <v>-6.9069000000000003</v>
      </c>
      <c r="I31" s="34" t="s">
        <v>89</v>
      </c>
    </row>
    <row r="32" spans="2:14" x14ac:dyDescent="0.25">
      <c r="C32" s="20" t="s">
        <v>90</v>
      </c>
      <c r="D32" s="77"/>
      <c r="E32" s="10">
        <f>E30+E28</f>
        <v>-30.587700000000002</v>
      </c>
      <c r="F32" s="10">
        <f>F30+F28</f>
        <v>-25.2057</v>
      </c>
      <c r="G32" s="10">
        <f>G30+G28</f>
        <v>-14.6211</v>
      </c>
      <c r="H32" s="10">
        <f>H30+H28</f>
        <v>-6.9069000000000003</v>
      </c>
      <c r="I32" s="34"/>
      <c r="K32" s="83"/>
    </row>
    <row r="33" spans="3:15" ht="30" x14ac:dyDescent="0.25">
      <c r="C33" s="19" t="s">
        <v>601</v>
      </c>
      <c r="D33" s="82"/>
      <c r="E33" s="12">
        <f>IF(E31&gt;0,"NA",-ROUND(E31,0))</f>
        <v>1</v>
      </c>
      <c r="F33" s="12">
        <f>IF(F31&gt;0,"NA",-ROUND(F31,0))</f>
        <v>4</v>
      </c>
      <c r="G33" s="12">
        <f t="shared" ref="F33:H34" si="5">IF(G31&gt;0,"NA",-ROUND(G31,0))</f>
        <v>5</v>
      </c>
      <c r="H33" s="12">
        <f t="shared" si="5"/>
        <v>7</v>
      </c>
      <c r="I33" s="6"/>
    </row>
    <row r="34" spans="3:15" ht="15.75" thickBot="1" x14ac:dyDescent="0.3">
      <c r="C34" s="19" t="s">
        <v>602</v>
      </c>
      <c r="D34" s="82"/>
      <c r="E34" s="12">
        <f>IF(E32&gt;0,"NA",-ROUND(E32,0))</f>
        <v>31</v>
      </c>
      <c r="F34" s="12">
        <f t="shared" si="5"/>
        <v>25</v>
      </c>
      <c r="G34" s="12">
        <f t="shared" si="5"/>
        <v>15</v>
      </c>
      <c r="H34" s="12">
        <f t="shared" si="5"/>
        <v>7</v>
      </c>
      <c r="I34" s="6"/>
    </row>
    <row r="35" spans="3:15" ht="15.75" thickTop="1" x14ac:dyDescent="0.25">
      <c r="C35" s="14" t="s">
        <v>597</v>
      </c>
      <c r="D35" s="75"/>
      <c r="E35" s="36"/>
      <c r="F35" s="36"/>
      <c r="G35" s="93"/>
      <c r="H35" s="93"/>
      <c r="I35" s="18" t="s">
        <v>594</v>
      </c>
    </row>
    <row r="36" spans="3:15" x14ac:dyDescent="0.25">
      <c r="C36" s="3" t="s">
        <v>104</v>
      </c>
      <c r="D36" s="3"/>
      <c r="E36" s="7">
        <f>-1000*E10*E20</f>
        <v>-9200</v>
      </c>
      <c r="F36" s="7">
        <f>-1000*F10*F20</f>
        <v>-9200</v>
      </c>
      <c r="G36" s="7">
        <f>-1000*G10*G20</f>
        <v>-9200</v>
      </c>
      <c r="H36" s="7">
        <f>-1000*H10*H20</f>
        <v>-9200</v>
      </c>
      <c r="I36" s="162" t="s">
        <v>656</v>
      </c>
      <c r="J36" s="195"/>
      <c r="K36" s="193"/>
      <c r="L36" s="194"/>
      <c r="M36" s="194"/>
      <c r="N36" s="194"/>
      <c r="O36" s="194"/>
    </row>
    <row r="37" spans="3:15" x14ac:dyDescent="0.25">
      <c r="C37" s="6" t="s">
        <v>595</v>
      </c>
      <c r="D37" s="80"/>
      <c r="E37" s="3"/>
      <c r="F37" s="3"/>
      <c r="G37" s="3"/>
      <c r="H37" s="3"/>
      <c r="I37" s="6"/>
      <c r="J37" s="20"/>
      <c r="K37" s="81"/>
      <c r="L37" s="60"/>
      <c r="M37" s="60"/>
      <c r="N37" s="60"/>
      <c r="O37" s="60"/>
    </row>
    <row r="38" spans="3:15" x14ac:dyDescent="0.25">
      <c r="C38" s="20" t="s">
        <v>84</v>
      </c>
      <c r="D38" s="77"/>
      <c r="E38" s="11">
        <f>E36*E15/1000000</f>
        <v>-3.1372</v>
      </c>
      <c r="F38" s="11">
        <f>F36*F15/1000000</f>
        <v>-2.5851999999999999</v>
      </c>
      <c r="G38" s="11">
        <f>G36*G15/1000000</f>
        <v>-1.4996</v>
      </c>
      <c r="H38" s="11">
        <f>H36*H15/1000000</f>
        <v>-0.70840000000000003</v>
      </c>
      <c r="I38" s="34" t="s">
        <v>596</v>
      </c>
      <c r="J38" s="20"/>
      <c r="K38" s="81"/>
      <c r="L38" s="60"/>
      <c r="M38" s="60"/>
      <c r="N38" s="60"/>
      <c r="O38" s="60"/>
    </row>
    <row r="39" spans="3:15" x14ac:dyDescent="0.25">
      <c r="C39" s="20" t="s">
        <v>86</v>
      </c>
      <c r="D39" s="77"/>
      <c r="E39" s="10">
        <f>1000*E16/1000000</f>
        <v>1.137057754368594</v>
      </c>
      <c r="F39" s="10">
        <f>1000*F16/1000000</f>
        <v>0.83313390600465176</v>
      </c>
      <c r="G39" s="10">
        <f>1000*G16/1000000</f>
        <v>0.37143886642707397</v>
      </c>
      <c r="H39" s="10">
        <f>1000*H16/1000000</f>
        <v>0</v>
      </c>
      <c r="I39" s="34" t="s">
        <v>600</v>
      </c>
      <c r="J39" s="20"/>
      <c r="K39" s="81"/>
      <c r="L39" s="60"/>
      <c r="M39" s="60"/>
      <c r="N39" s="60"/>
      <c r="O39" s="60"/>
    </row>
    <row r="40" spans="3:15" x14ac:dyDescent="0.25">
      <c r="C40" s="20" t="s">
        <v>87</v>
      </c>
      <c r="D40" s="77"/>
      <c r="E40" s="10">
        <v>0</v>
      </c>
      <c r="F40" s="10">
        <v>0</v>
      </c>
      <c r="G40" s="10">
        <v>0</v>
      </c>
      <c r="H40" s="10">
        <v>0</v>
      </c>
      <c r="I40" s="34"/>
      <c r="J40" s="20"/>
      <c r="K40" s="81"/>
      <c r="L40" s="60"/>
      <c r="M40" s="60"/>
      <c r="N40" s="60"/>
      <c r="O40" s="60"/>
    </row>
    <row r="41" spans="3:15" x14ac:dyDescent="0.25">
      <c r="C41" s="20" t="s">
        <v>88</v>
      </c>
      <c r="D41" s="77"/>
      <c r="E41" s="10">
        <f>E39+E38</f>
        <v>-2.0001422456314062</v>
      </c>
      <c r="F41" s="10">
        <f>F39+F38</f>
        <v>-1.7520660939953481</v>
      </c>
      <c r="G41" s="10">
        <f>G39+G38</f>
        <v>-1.128161133572926</v>
      </c>
      <c r="H41" s="10">
        <f>H39+H38</f>
        <v>-0.70840000000000003</v>
      </c>
      <c r="I41" s="34" t="s">
        <v>89</v>
      </c>
      <c r="J41" s="2"/>
      <c r="K41" s="3"/>
      <c r="L41" s="3"/>
      <c r="M41" s="3"/>
      <c r="N41" s="3"/>
      <c r="O41" s="3"/>
    </row>
    <row r="42" spans="3:15" x14ac:dyDescent="0.25">
      <c r="C42" s="20" t="s">
        <v>90</v>
      </c>
      <c r="D42" s="77"/>
      <c r="E42" s="10">
        <f>E40+E38</f>
        <v>-3.1372</v>
      </c>
      <c r="F42" s="10">
        <f>F40+F38</f>
        <v>-2.5851999999999999</v>
      </c>
      <c r="G42" s="10">
        <f>G40+G38</f>
        <v>-1.4996</v>
      </c>
      <c r="H42" s="10">
        <f>H40+H38</f>
        <v>-0.70840000000000003</v>
      </c>
      <c r="I42" s="34"/>
    </row>
    <row r="43" spans="3:15" ht="30" x14ac:dyDescent="0.25">
      <c r="C43" s="19" t="s">
        <v>603</v>
      </c>
      <c r="D43" s="82"/>
      <c r="E43" s="12">
        <f>IF(E41&gt;0,"NA",-ROUND(E41,0))</f>
        <v>2</v>
      </c>
      <c r="F43" s="12">
        <f t="shared" ref="F43:H43" si="6">IF(F41&gt;0,"NA",-ROUND(F41,0))</f>
        <v>2</v>
      </c>
      <c r="G43" s="12">
        <f t="shared" si="6"/>
        <v>1</v>
      </c>
      <c r="H43" s="12">
        <f t="shared" si="6"/>
        <v>1</v>
      </c>
      <c r="I43" s="6"/>
    </row>
    <row r="44" spans="3:15" x14ac:dyDescent="0.25">
      <c r="C44" s="19" t="s">
        <v>604</v>
      </c>
      <c r="D44" s="82"/>
      <c r="E44" s="12">
        <f>IF(E42&gt;0,"NA",-ROUND(E42,0))</f>
        <v>3</v>
      </c>
      <c r="F44" s="12">
        <f>IF(F42&gt;0,"NA",-ROUND(F42,0))</f>
        <v>3</v>
      </c>
      <c r="G44" s="12">
        <f>IF(G42&gt;0,"NA",-ROUND(G42,0))</f>
        <v>1</v>
      </c>
      <c r="H44" s="12">
        <f>IF(H42&gt;0,"NA",-ROUND(H42,0))</f>
        <v>1</v>
      </c>
      <c r="I44" s="6"/>
    </row>
    <row r="45" spans="3:15" ht="15.75" thickBot="1" x14ac:dyDescent="0.3">
      <c r="D45" s="2"/>
      <c r="E45" s="203"/>
      <c r="F45" s="203"/>
      <c r="G45" s="203"/>
      <c r="H45" s="203"/>
      <c r="I45"/>
    </row>
    <row r="46" spans="3:15" ht="15.75" thickTop="1" x14ac:dyDescent="0.25">
      <c r="C46" s="14" t="s">
        <v>91</v>
      </c>
      <c r="D46" s="75"/>
      <c r="E46" s="36"/>
      <c r="F46" s="36"/>
      <c r="G46" s="93"/>
      <c r="H46" s="93"/>
      <c r="I46" s="18" t="s">
        <v>82</v>
      </c>
    </row>
    <row r="47" spans="3:15" x14ac:dyDescent="0.25">
      <c r="C47" s="6" t="s">
        <v>83</v>
      </c>
      <c r="D47" s="80"/>
      <c r="E47" s="3"/>
      <c r="F47" s="3"/>
      <c r="G47" s="3"/>
      <c r="H47" s="3"/>
      <c r="I47" s="6" t="s">
        <v>92</v>
      </c>
    </row>
    <row r="48" spans="3:15" x14ac:dyDescent="0.25">
      <c r="C48" s="20" t="s">
        <v>93</v>
      </c>
      <c r="D48" s="77"/>
      <c r="E48" s="10">
        <f>E14*E7/1000</f>
        <v>12.397014979762472</v>
      </c>
      <c r="F48" s="10">
        <f>F14*F7/1000</f>
        <v>9.083420321620352</v>
      </c>
      <c r="G48" s="10">
        <f>G14*G7/1000</f>
        <v>4.0496915600557406</v>
      </c>
      <c r="H48" s="10">
        <f>H14*H7/1000</f>
        <v>0</v>
      </c>
      <c r="I48" s="34" t="s">
        <v>94</v>
      </c>
    </row>
    <row r="49" spans="3:9" x14ac:dyDescent="0.25">
      <c r="C49" s="20" t="s">
        <v>84</v>
      </c>
      <c r="D49" s="77"/>
      <c r="E49" s="11">
        <f>-E7*E11*E15*E19/1000</f>
        <v>-9.8105700000000002</v>
      </c>
      <c r="F49" s="11">
        <f>-F7*F11*F15*F19/1000</f>
        <v>-8.0843699999999998</v>
      </c>
      <c r="G49" s="11">
        <f>-G7*G11*G15*G19/1000</f>
        <v>-4.6895099999999994</v>
      </c>
      <c r="H49" s="11">
        <f>-H7*H11*H15*H19/1000</f>
        <v>-2.2152899999999995</v>
      </c>
      <c r="I49" s="34" t="s">
        <v>85</v>
      </c>
    </row>
    <row r="50" spans="3:9" x14ac:dyDescent="0.25">
      <c r="C50" s="20" t="s">
        <v>95</v>
      </c>
      <c r="D50" s="77"/>
      <c r="E50" s="10">
        <f>E48+E49</f>
        <v>2.5864449797624722</v>
      </c>
      <c r="F50" s="10">
        <f>F48+F49</f>
        <v>0.99905032162035212</v>
      </c>
      <c r="G50" s="10">
        <f>G48+G49</f>
        <v>-0.6398184399442588</v>
      </c>
      <c r="H50" s="10">
        <f>H48+H49</f>
        <v>-2.2152899999999995</v>
      </c>
      <c r="I50" s="34" t="s">
        <v>89</v>
      </c>
    </row>
    <row r="51" spans="3:9" x14ac:dyDescent="0.25">
      <c r="C51" s="19" t="s">
        <v>96</v>
      </c>
      <c r="D51" s="82"/>
      <c r="E51" s="12" t="str">
        <f>IF(E50&gt;0,"NA",-ROUND(E50,0))</f>
        <v>NA</v>
      </c>
      <c r="F51" s="12" t="str">
        <f>IF(F50&gt;0,"NA",-ROUND(F50,0))</f>
        <v>NA</v>
      </c>
      <c r="G51" s="12">
        <f>IF(G50&gt;0,"NA",-ROUND(G50,0))</f>
        <v>1</v>
      </c>
      <c r="H51" s="12">
        <f>IF(H50&gt;0,"NA",-ROUND(H50,0))</f>
        <v>2</v>
      </c>
      <c r="I51" s="6"/>
    </row>
    <row r="52" spans="3:9" ht="15.75" thickBot="1" x14ac:dyDescent="0.3"/>
    <row r="53" spans="3:9" ht="15.75" thickTop="1" x14ac:dyDescent="0.25">
      <c r="C53" s="14" t="s">
        <v>97</v>
      </c>
      <c r="D53" s="75"/>
      <c r="E53" s="36"/>
      <c r="F53" s="36"/>
      <c r="G53" s="93"/>
      <c r="H53" s="93"/>
      <c r="I53" s="18" t="s">
        <v>98</v>
      </c>
    </row>
    <row r="54" spans="3:9" x14ac:dyDescent="0.25">
      <c r="C54" s="6" t="s">
        <v>99</v>
      </c>
      <c r="D54" s="80"/>
      <c r="E54" s="4">
        <v>-0.3</v>
      </c>
      <c r="F54" s="5">
        <f>E54</f>
        <v>-0.3</v>
      </c>
      <c r="G54" s="5">
        <f>F54</f>
        <v>-0.3</v>
      </c>
      <c r="H54" s="5">
        <f>G54</f>
        <v>-0.3</v>
      </c>
      <c r="I54" s="6" t="s">
        <v>100</v>
      </c>
    </row>
    <row r="55" spans="3:9" ht="30" x14ac:dyDescent="0.25">
      <c r="C55" s="6" t="s">
        <v>101</v>
      </c>
      <c r="D55" s="80"/>
      <c r="E55" s="21"/>
      <c r="F55" s="5"/>
      <c r="G55" s="5"/>
      <c r="H55" s="5"/>
    </row>
    <row r="56" spans="3:9" x14ac:dyDescent="0.25">
      <c r="C56" s="20" t="s">
        <v>102</v>
      </c>
      <c r="D56" s="77"/>
      <c r="E56" s="32">
        <f>-E54*1000000</f>
        <v>300000</v>
      </c>
      <c r="F56" s="32">
        <f>-F54*1000000</f>
        <v>300000</v>
      </c>
      <c r="G56" s="32">
        <f>-G54*1000000</f>
        <v>300000</v>
      </c>
      <c r="H56" s="32">
        <f>-H54*1000000</f>
        <v>300000</v>
      </c>
      <c r="I56" s="37" t="s">
        <v>103</v>
      </c>
    </row>
    <row r="57" spans="3:9" x14ac:dyDescent="0.25">
      <c r="C57" s="20" t="s">
        <v>104</v>
      </c>
      <c r="D57" s="77"/>
      <c r="E57" s="32">
        <f>-E56*E22*E19</f>
        <v>-813599.99999999988</v>
      </c>
      <c r="F57" s="32">
        <f>-F56*F22*F19</f>
        <v>-813599.99999999988</v>
      </c>
      <c r="G57" s="32">
        <f>-G56*G22*G19</f>
        <v>-813599.99999999988</v>
      </c>
      <c r="H57" s="32">
        <f>-H56*H22*H19</f>
        <v>-813599.99999999988</v>
      </c>
      <c r="I57" s="34" t="s">
        <v>105</v>
      </c>
    </row>
    <row r="58" spans="3:9" x14ac:dyDescent="0.25">
      <c r="C58" s="20" t="s">
        <v>106</v>
      </c>
      <c r="D58" s="77"/>
      <c r="E58" s="10">
        <f>E57*E$15/1000000</f>
        <v>-277.43759999999992</v>
      </c>
      <c r="F58" s="10">
        <f>F57*F$15/1000000</f>
        <v>-228.62159999999997</v>
      </c>
      <c r="G58" s="10">
        <f>G57*G$15/1000000</f>
        <v>-132.61679999999998</v>
      </c>
      <c r="H58" s="10">
        <f>H57*H$15/1000000</f>
        <v>-62.647199999999991</v>
      </c>
      <c r="I58" s="34" t="s">
        <v>107</v>
      </c>
    </row>
    <row r="59" spans="3:9" x14ac:dyDescent="0.25">
      <c r="C59" s="19" t="s">
        <v>108</v>
      </c>
      <c r="D59" s="82"/>
      <c r="E59" s="12">
        <f>IF(E58&gt;0,"NA",-ROUND(E58,0))</f>
        <v>277</v>
      </c>
      <c r="F59" s="12">
        <f>IF(F58&gt;0,"NA",-ROUND(F58,0))</f>
        <v>229</v>
      </c>
      <c r="G59" s="12">
        <f>IF(G58&gt;0,"NA",-ROUND(G58,0))</f>
        <v>133</v>
      </c>
      <c r="H59" s="12">
        <f>IF(H58&gt;0,"NA",-ROUND(H58,0))</f>
        <v>63</v>
      </c>
      <c r="I59" s="6"/>
    </row>
    <row r="60" spans="3:9" ht="30" x14ac:dyDescent="0.25">
      <c r="C60" s="19" t="s">
        <v>109</v>
      </c>
      <c r="D60" s="82"/>
      <c r="E60" s="94">
        <f>E59*0.5</f>
        <v>138.5</v>
      </c>
      <c r="F60" s="94">
        <f>F59*0.5</f>
        <v>114.5</v>
      </c>
      <c r="G60" s="94">
        <f>G59*0.5</f>
        <v>66.5</v>
      </c>
      <c r="H60" s="94">
        <f>H59*0.5</f>
        <v>31.5</v>
      </c>
    </row>
    <row r="61" spans="3:9" ht="30" x14ac:dyDescent="0.25">
      <c r="C61" s="19" t="s">
        <v>110</v>
      </c>
      <c r="D61" s="82"/>
      <c r="E61" s="94">
        <f>E59*0.25</f>
        <v>69.25</v>
      </c>
      <c r="F61" s="94">
        <f>F59*0.25</f>
        <v>57.25</v>
      </c>
      <c r="G61" s="94">
        <f>G59*0.25</f>
        <v>33.25</v>
      </c>
      <c r="H61" s="94">
        <f>H59*0.25</f>
        <v>15.75</v>
      </c>
    </row>
    <row r="62" spans="3:9" ht="15.75" thickBot="1" x14ac:dyDescent="0.3">
      <c r="C62" s="3"/>
      <c r="D62" s="3"/>
      <c r="E62" s="3"/>
      <c r="F62" s="3"/>
      <c r="G62" s="3"/>
      <c r="H62" s="3"/>
      <c r="I62" s="3"/>
    </row>
    <row r="63" spans="3:9" ht="15.75" thickTop="1" x14ac:dyDescent="0.25">
      <c r="C63" s="14" t="s">
        <v>111</v>
      </c>
      <c r="D63" s="75"/>
      <c r="E63" s="36"/>
      <c r="F63" s="36"/>
      <c r="G63" s="93"/>
      <c r="H63" s="93"/>
      <c r="I63" s="18" t="s">
        <v>112</v>
      </c>
    </row>
    <row r="64" spans="3:9" x14ac:dyDescent="0.25">
      <c r="C64" s="6" t="s">
        <v>113</v>
      </c>
      <c r="D64" s="80"/>
      <c r="E64" s="4">
        <v>-0.4</v>
      </c>
      <c r="F64" s="5">
        <f t="shared" ref="F64:H65" si="7">E64</f>
        <v>-0.4</v>
      </c>
      <c r="G64" s="5">
        <f t="shared" si="7"/>
        <v>-0.4</v>
      </c>
      <c r="H64" s="5">
        <f t="shared" si="7"/>
        <v>-0.4</v>
      </c>
      <c r="I64" s="6" t="s">
        <v>114</v>
      </c>
    </row>
    <row r="65" spans="1:16" x14ac:dyDescent="0.25">
      <c r="C65" s="6" t="s">
        <v>115</v>
      </c>
      <c r="D65" s="80"/>
      <c r="E65" s="70">
        <v>-0.1</v>
      </c>
      <c r="F65" s="9">
        <f t="shared" si="7"/>
        <v>-0.1</v>
      </c>
      <c r="G65" s="9">
        <f t="shared" si="7"/>
        <v>-0.1</v>
      </c>
      <c r="H65" s="9">
        <f t="shared" si="7"/>
        <v>-0.1</v>
      </c>
      <c r="I65" s="6" t="s">
        <v>116</v>
      </c>
    </row>
    <row r="66" spans="1:16" x14ac:dyDescent="0.25">
      <c r="C66" s="6" t="s">
        <v>117</v>
      </c>
      <c r="D66" s="80"/>
      <c r="E66" s="21"/>
      <c r="F66" s="5"/>
      <c r="G66" s="5"/>
      <c r="H66" s="5"/>
      <c r="I66" s="6"/>
    </row>
    <row r="67" spans="1:16" x14ac:dyDescent="0.25">
      <c r="C67" s="20" t="s">
        <v>118</v>
      </c>
      <c r="D67" s="77"/>
      <c r="E67" s="32">
        <f>E10*E64*E65*1000*E$24</f>
        <v>138000.00000000003</v>
      </c>
      <c r="F67" s="32">
        <f>F10*F64*F65*1000*F$24</f>
        <v>138000.00000000003</v>
      </c>
      <c r="G67" s="32">
        <f>G10*G64*G65*1000*G$24</f>
        <v>138000.00000000003</v>
      </c>
      <c r="H67" s="32">
        <f>H10*H64*H65*1000*H$24</f>
        <v>138000.00000000003</v>
      </c>
      <c r="I67" s="34" t="s">
        <v>119</v>
      </c>
    </row>
    <row r="68" spans="1:16" x14ac:dyDescent="0.25">
      <c r="C68" s="20" t="s">
        <v>104</v>
      </c>
      <c r="D68" s="77"/>
      <c r="E68" s="32">
        <f>-E67*E19</f>
        <v>-82800.000000000015</v>
      </c>
      <c r="F68" s="32">
        <f>-F67*F19</f>
        <v>-82800.000000000015</v>
      </c>
      <c r="G68" s="32">
        <f>-G67*G19</f>
        <v>-82800.000000000015</v>
      </c>
      <c r="H68" s="32">
        <f>-H67*H19</f>
        <v>-82800.000000000015</v>
      </c>
      <c r="I68" s="34" t="s">
        <v>120</v>
      </c>
      <c r="K68" s="1" t="s">
        <v>514</v>
      </c>
      <c r="L68" t="s">
        <v>494</v>
      </c>
      <c r="M68" t="s">
        <v>495</v>
      </c>
    </row>
    <row r="69" spans="1:16" x14ac:dyDescent="0.25">
      <c r="C69" s="20" t="s">
        <v>121</v>
      </c>
      <c r="D69" s="77"/>
      <c r="E69" s="33">
        <f>E68*E$15/1000000</f>
        <v>-28.234800000000003</v>
      </c>
      <c r="F69" s="33">
        <f>F68*F$15/1000000</f>
        <v>-23.266800000000003</v>
      </c>
      <c r="G69" s="33">
        <f>G68*G$15/1000000</f>
        <v>-13.496400000000001</v>
      </c>
      <c r="H69" s="33">
        <f>H68*H$15/1000000</f>
        <v>-6.3756000000000013</v>
      </c>
      <c r="I69" s="34" t="s">
        <v>107</v>
      </c>
      <c r="L69" t="s">
        <v>492</v>
      </c>
      <c r="M69" t="s">
        <v>496</v>
      </c>
    </row>
    <row r="70" spans="1:16" x14ac:dyDescent="0.25">
      <c r="C70" s="20" t="s">
        <v>122</v>
      </c>
      <c r="D70" s="77"/>
      <c r="E70" s="32">
        <f>(1000/E6)*E18*E65*E24/1000000</f>
        <v>-13.380764239007341</v>
      </c>
      <c r="F70" s="32">
        <f>(1000/F6)*F18*F65*F24/1000000</f>
        <v>-9.80422351717921</v>
      </c>
      <c r="G70" s="32">
        <f>(1000/G6)*G18*G65*G24/1000000</f>
        <v>-4.3710496514090647</v>
      </c>
      <c r="H70" s="32">
        <f>(1000/H6)*H18*H65*H24/1000000</f>
        <v>0</v>
      </c>
      <c r="I70" s="6"/>
      <c r="L70" t="s">
        <v>493</v>
      </c>
      <c r="M70" t="s">
        <v>497</v>
      </c>
    </row>
    <row r="71" spans="1:16" x14ac:dyDescent="0.25">
      <c r="C71" s="20" t="s">
        <v>106</v>
      </c>
      <c r="D71" s="77"/>
      <c r="E71" s="33">
        <f>E69+E70</f>
        <v>-41.615564239007341</v>
      </c>
      <c r="F71" s="33">
        <f>F69+F70</f>
        <v>-33.071023517179214</v>
      </c>
      <c r="G71" s="33">
        <f>G69+G70</f>
        <v>-17.867449651409068</v>
      </c>
      <c r="H71" s="33">
        <f>H69+H70</f>
        <v>-6.3756000000000013</v>
      </c>
      <c r="I71" s="6"/>
      <c r="M71" t="s">
        <v>498</v>
      </c>
    </row>
    <row r="72" spans="1:16" x14ac:dyDescent="0.25">
      <c r="C72" s="19" t="s">
        <v>123</v>
      </c>
      <c r="D72" s="82"/>
      <c r="E72" s="12">
        <f>IF(E71&gt;0,"NA",-ROUND(E71,0))</f>
        <v>42</v>
      </c>
      <c r="F72" s="12">
        <f>IF(F71&gt;0,"NA",-ROUND(F71,0))</f>
        <v>33</v>
      </c>
      <c r="G72" s="12">
        <f>IF(G71&gt;0,"NA",-ROUND(G71,0))</f>
        <v>18</v>
      </c>
      <c r="H72" s="12">
        <f>IF(H71&gt;0,"NA",-ROUND(H71,0))</f>
        <v>6</v>
      </c>
      <c r="I72" s="6"/>
      <c r="M72" t="s">
        <v>499</v>
      </c>
    </row>
    <row r="73" spans="1:16" ht="15.75" thickBot="1" x14ac:dyDescent="0.3">
      <c r="M73" t="s">
        <v>515</v>
      </c>
    </row>
    <row r="74" spans="1:16" ht="15.75" thickTop="1" x14ac:dyDescent="0.25">
      <c r="A74" s="179"/>
      <c r="C74" s="14" t="s">
        <v>488</v>
      </c>
      <c r="D74" s="75"/>
      <c r="E74" s="36"/>
      <c r="F74" s="36"/>
      <c r="G74" s="93"/>
      <c r="H74" s="93"/>
      <c r="I74" s="18"/>
    </row>
    <row r="75" spans="1:16" ht="30" x14ac:dyDescent="0.25">
      <c r="A75" s="179"/>
      <c r="C75" s="6" t="s">
        <v>505</v>
      </c>
      <c r="D75" s="3"/>
      <c r="E75" s="158">
        <v>1</v>
      </c>
      <c r="F75" s="158">
        <f>E75*1.1</f>
        <v>1.1000000000000001</v>
      </c>
      <c r="G75" s="158">
        <f t="shared" ref="F75:H76" si="8">F75*1.1</f>
        <v>1.2100000000000002</v>
      </c>
      <c r="H75" s="158">
        <f t="shared" si="8"/>
        <v>1.3310000000000004</v>
      </c>
      <c r="I75" s="6" t="s">
        <v>500</v>
      </c>
      <c r="L75" s="1" t="s">
        <v>513</v>
      </c>
      <c r="M75" s="1">
        <v>2025</v>
      </c>
      <c r="N75" s="1">
        <v>2030</v>
      </c>
      <c r="O75" s="1">
        <v>2040</v>
      </c>
      <c r="P75" s="1">
        <v>2050</v>
      </c>
    </row>
    <row r="76" spans="1:16" ht="30" x14ac:dyDescent="0.25">
      <c r="A76" s="179"/>
      <c r="C76" s="6" t="s">
        <v>506</v>
      </c>
      <c r="D76" s="3"/>
      <c r="E76" s="159">
        <f>26000/1.1</f>
        <v>23636.363636363636</v>
      </c>
      <c r="F76" s="159">
        <f t="shared" si="8"/>
        <v>26000</v>
      </c>
      <c r="G76" s="159">
        <f t="shared" si="8"/>
        <v>28600.000000000004</v>
      </c>
      <c r="H76" s="159">
        <f t="shared" si="8"/>
        <v>31460.000000000007</v>
      </c>
      <c r="I76" s="6" t="s">
        <v>501</v>
      </c>
      <c r="J76" t="s">
        <v>493</v>
      </c>
      <c r="K76" t="s">
        <v>497</v>
      </c>
      <c r="L76" t="str">
        <f t="shared" ref="L76:L84" si="9">CONCATENATE(J76," ",K76)</f>
        <v>15-20' van CNG</v>
      </c>
      <c r="M76" s="69">
        <f t="shared" ref="M76:P80" si="10">M81*$E$14/$E$13</f>
        <v>706.12779757815167</v>
      </c>
      <c r="N76" s="69">
        <f t="shared" si="10"/>
        <v>646.73387067905469</v>
      </c>
      <c r="O76" s="69">
        <f t="shared" si="10"/>
        <v>576.67103468882385</v>
      </c>
      <c r="P76" s="69">
        <f t="shared" si="10"/>
        <v>562.60588750129159</v>
      </c>
    </row>
    <row r="77" spans="1:16" ht="30" x14ac:dyDescent="0.25">
      <c r="A77" s="179"/>
      <c r="C77" s="6" t="s">
        <v>489</v>
      </c>
      <c r="D77" s="3"/>
      <c r="E77" s="157">
        <v>0.9</v>
      </c>
      <c r="F77" s="156"/>
      <c r="G77" s="156"/>
      <c r="H77" s="156"/>
      <c r="I77" s="6" t="s">
        <v>503</v>
      </c>
      <c r="J77" t="s">
        <v>493</v>
      </c>
      <c r="K77" t="s">
        <v>496</v>
      </c>
      <c r="L77" t="str">
        <f t="shared" si="9"/>
        <v>15-20' van diesel</v>
      </c>
      <c r="M77" s="69">
        <f t="shared" si="10"/>
        <v>1171.949795671454</v>
      </c>
      <c r="N77" s="69">
        <f t="shared" si="10"/>
        <v>1073.3745792131069</v>
      </c>
      <c r="O77" s="69">
        <f t="shared" si="10"/>
        <v>957.0923331316875</v>
      </c>
      <c r="P77" s="69">
        <f t="shared" si="10"/>
        <v>933.74861768945095</v>
      </c>
    </row>
    <row r="78" spans="1:16" ht="30" x14ac:dyDescent="0.25">
      <c r="A78" s="179"/>
      <c r="C78" s="6" t="s">
        <v>502</v>
      </c>
      <c r="D78" s="3"/>
      <c r="E78" s="165">
        <v>18</v>
      </c>
      <c r="F78" s="156"/>
      <c r="G78" s="156"/>
      <c r="H78" s="156"/>
      <c r="I78" s="6" t="s">
        <v>504</v>
      </c>
      <c r="J78" t="s">
        <v>493</v>
      </c>
      <c r="K78" t="s">
        <v>499</v>
      </c>
      <c r="L78" t="str">
        <f t="shared" si="9"/>
        <v>15-20' van electric</v>
      </c>
      <c r="M78" s="69">
        <f t="shared" si="10"/>
        <v>0</v>
      </c>
      <c r="N78" s="69">
        <f t="shared" si="10"/>
        <v>0</v>
      </c>
      <c r="O78" s="69">
        <f t="shared" si="10"/>
        <v>0</v>
      </c>
      <c r="P78" s="69">
        <f t="shared" si="10"/>
        <v>0</v>
      </c>
    </row>
    <row r="79" spans="1:16" x14ac:dyDescent="0.25">
      <c r="A79" s="179"/>
      <c r="C79" s="6" t="s">
        <v>491</v>
      </c>
      <c r="D79" s="3"/>
      <c r="E79" s="161" t="s">
        <v>493</v>
      </c>
      <c r="F79" s="156"/>
      <c r="G79" s="156"/>
      <c r="H79" s="156"/>
      <c r="I79" s="6" t="s">
        <v>500</v>
      </c>
      <c r="J79" t="s">
        <v>493</v>
      </c>
      <c r="K79" t="s">
        <v>515</v>
      </c>
      <c r="L79" t="str">
        <f t="shared" si="9"/>
        <v>15-20' van fleet average</v>
      </c>
      <c r="M79" s="69">
        <f t="shared" si="10"/>
        <v>904.89160436222437</v>
      </c>
      <c r="N79" s="69">
        <f t="shared" si="10"/>
        <v>663.02338114017175</v>
      </c>
      <c r="O79" s="69">
        <f t="shared" si="10"/>
        <v>295.59792409165993</v>
      </c>
      <c r="P79" s="69">
        <f t="shared" si="10"/>
        <v>0</v>
      </c>
    </row>
    <row r="80" spans="1:16" x14ac:dyDescent="0.25">
      <c r="A80" s="179"/>
      <c r="C80" s="6" t="s">
        <v>490</v>
      </c>
      <c r="D80" s="3"/>
      <c r="E80" s="161" t="s">
        <v>515</v>
      </c>
      <c r="F80" s="161" t="s">
        <v>515</v>
      </c>
      <c r="G80" s="161" t="s">
        <v>499</v>
      </c>
      <c r="H80" s="161" t="s">
        <v>499</v>
      </c>
      <c r="I80" s="6" t="s">
        <v>500</v>
      </c>
      <c r="J80" t="s">
        <v>493</v>
      </c>
      <c r="K80" t="s">
        <v>498</v>
      </c>
      <c r="L80" t="str">
        <f t="shared" si="9"/>
        <v>15-20' van hybrid electric</v>
      </c>
      <c r="M80" s="69">
        <f t="shared" si="10"/>
        <v>937.55983653716316</v>
      </c>
      <c r="N80" s="69">
        <f t="shared" si="10"/>
        <v>858.69966337048584</v>
      </c>
      <c r="O80" s="69">
        <f t="shared" si="10"/>
        <v>765.67386650535002</v>
      </c>
      <c r="P80" s="69">
        <f t="shared" si="10"/>
        <v>746.99889415156088</v>
      </c>
    </row>
    <row r="81" spans="1:16" x14ac:dyDescent="0.25">
      <c r="A81" s="179"/>
      <c r="C81" s="2" t="s">
        <v>507</v>
      </c>
      <c r="E81" s="83">
        <f>E76*$E78/E75</f>
        <v>425454.54545454547</v>
      </c>
      <c r="F81" s="83">
        <f>F76*$E78/F75</f>
        <v>425454.54545454541</v>
      </c>
      <c r="G81" s="83">
        <f>G76*$E78/G75</f>
        <v>425454.54545454541</v>
      </c>
      <c r="H81" s="83">
        <f>H76*$E78/H75</f>
        <v>425454.54545454541</v>
      </c>
      <c r="I81" s="37" t="s">
        <v>517</v>
      </c>
      <c r="J81" t="s">
        <v>492</v>
      </c>
      <c r="K81" t="s">
        <v>497</v>
      </c>
      <c r="L81" t="str">
        <f t="shared" si="9"/>
        <v>35-40' bus CNG</v>
      </c>
      <c r="M81" s="69">
        <f>M82*'MD-HD'!$K$14</f>
        <v>1774.5950651787755</v>
      </c>
      <c r="N81" s="69">
        <f>N82*'MD-HD'!$K$14</f>
        <v>1625.3300596964482</v>
      </c>
      <c r="O81" s="69">
        <f>O82*'MD-HD'!$K$14</f>
        <v>1449.2526365626668</v>
      </c>
      <c r="P81" s="69">
        <f>P82*'MD-HD'!$K$14</f>
        <v>1413.9050112806503</v>
      </c>
    </row>
    <row r="82" spans="1:16" x14ac:dyDescent="0.25">
      <c r="A82" s="179"/>
      <c r="C82" s="25" t="s">
        <v>508</v>
      </c>
      <c r="D82" s="3"/>
      <c r="E82" s="60">
        <f>-E76*$E78*$E77</f>
        <v>-382909.09090909094</v>
      </c>
      <c r="F82" s="60">
        <f>-F76*$E78*$E77</f>
        <v>-421200</v>
      </c>
      <c r="G82" s="60">
        <f>-G76*$E78*$E77</f>
        <v>-463320.00000000006</v>
      </c>
      <c r="H82" s="60">
        <f>-H76*$E78*$E77</f>
        <v>-509652.00000000012</v>
      </c>
      <c r="I82" s="162" t="s">
        <v>518</v>
      </c>
      <c r="J82" t="s">
        <v>492</v>
      </c>
      <c r="K82" t="s">
        <v>496</v>
      </c>
      <c r="L82" t="str">
        <f t="shared" si="9"/>
        <v>35-40' bus diesel</v>
      </c>
      <c r="M82" s="69">
        <f>[2]Emissions!$H$12</f>
        <v>2945.2690166975881</v>
      </c>
      <c r="N82" s="69">
        <f>[2]Emissions!$M$12</f>
        <v>2697.5361087510614</v>
      </c>
      <c r="O82" s="69">
        <f>[2]Emissions!$W$12</f>
        <v>2405.3030303030305</v>
      </c>
      <c r="P82" s="69">
        <f>[2]Emissions!$AG$12</f>
        <v>2346.6371027346636</v>
      </c>
    </row>
    <row r="83" spans="1:16" x14ac:dyDescent="0.25">
      <c r="A83" s="179"/>
      <c r="C83" s="6" t="s">
        <v>511</v>
      </c>
      <c r="D83" s="80"/>
      <c r="E83" s="3"/>
      <c r="F83" s="3"/>
      <c r="G83" s="3"/>
      <c r="H83" s="3"/>
      <c r="I83" s="6"/>
      <c r="J83" t="s">
        <v>492</v>
      </c>
      <c r="K83" t="s">
        <v>499</v>
      </c>
      <c r="L83" t="str">
        <f t="shared" si="9"/>
        <v>35-40' bus electric</v>
      </c>
      <c r="M83" s="69">
        <v>0</v>
      </c>
      <c r="N83" s="69">
        <v>0</v>
      </c>
      <c r="O83" s="69">
        <v>0</v>
      </c>
      <c r="P83" s="69">
        <v>0</v>
      </c>
    </row>
    <row r="84" spans="1:16" x14ac:dyDescent="0.25">
      <c r="A84" s="179"/>
      <c r="C84" s="20" t="s">
        <v>84</v>
      </c>
      <c r="D84" s="77"/>
      <c r="E84" s="160">
        <f>E82*E15/1000000</f>
        <v>-130.572</v>
      </c>
      <c r="F84" s="160">
        <f>F82*F15/1000000</f>
        <v>-118.35720000000001</v>
      </c>
      <c r="G84" s="160">
        <f>G82*G15/1000000</f>
        <v>-75.521160000000009</v>
      </c>
      <c r="H84" s="160">
        <f>H82*H15/1000000</f>
        <v>-39.243204000000006</v>
      </c>
      <c r="I84" s="34" t="s">
        <v>107</v>
      </c>
      <c r="J84" t="s">
        <v>492</v>
      </c>
      <c r="K84" t="s">
        <v>515</v>
      </c>
      <c r="L84" t="str">
        <f t="shared" si="9"/>
        <v>35-40' bus fleet average</v>
      </c>
      <c r="M84" s="69">
        <f>E13</f>
        <v>2274.1155087371876</v>
      </c>
      <c r="N84" s="69">
        <f>F13</f>
        <v>1666.2678120093035</v>
      </c>
      <c r="O84" s="69">
        <f>G13</f>
        <v>742.87773285414789</v>
      </c>
      <c r="P84" s="69">
        <f>H13</f>
        <v>0</v>
      </c>
    </row>
    <row r="85" spans="1:16" x14ac:dyDescent="0.25">
      <c r="A85" s="179"/>
      <c r="C85" s="20" t="s">
        <v>509</v>
      </c>
      <c r="D85" s="77"/>
      <c r="E85" s="60">
        <f>E75*VLOOKUP(CONCATENATE($E79," ",E80),$L$76:$P$85,2)/1000000</f>
        <v>9.0489160436222434E-4</v>
      </c>
      <c r="F85" s="60">
        <f>F75*VLOOKUP(CONCATENATE($E79," ",F80),$L$76:$P$85,3)/1000000</f>
        <v>7.2932571925418905E-4</v>
      </c>
      <c r="G85" s="60">
        <f>G75*VLOOKUP(CONCATENATE($E79," ",G80),$L$76:$P$85,4)/1000000</f>
        <v>0</v>
      </c>
      <c r="H85" s="60">
        <f>H75*VLOOKUP(CONCATENATE($E79," ",H80),$L$76:$P$85,5)/1000000</f>
        <v>0</v>
      </c>
      <c r="I85" s="34" t="s">
        <v>399</v>
      </c>
      <c r="J85" t="s">
        <v>492</v>
      </c>
      <c r="K85" t="s">
        <v>498</v>
      </c>
      <c r="L85" t="str">
        <f>CONCATENATE(J85," ",K85)</f>
        <v>35-40' bus hybrid electric</v>
      </c>
      <c r="M85" s="69">
        <f>M82*0.8</f>
        <v>2356.2152133580707</v>
      </c>
      <c r="N85" s="69">
        <f>N82*0.8</f>
        <v>2158.0288870008494</v>
      </c>
      <c r="O85" s="69">
        <f>O82*0.8</f>
        <v>1924.2424242424245</v>
      </c>
      <c r="P85" s="69">
        <f>P82*0.8</f>
        <v>1877.3096821877309</v>
      </c>
    </row>
    <row r="86" spans="1:16" x14ac:dyDescent="0.25">
      <c r="A86" s="179"/>
      <c r="C86" s="20" t="s">
        <v>510</v>
      </c>
      <c r="D86" s="77"/>
      <c r="E86" s="60">
        <f>E85+E84</f>
        <v>-130.57109510839564</v>
      </c>
      <c r="F86" s="60">
        <f>F85+F84</f>
        <v>-118.35647067428076</v>
      </c>
      <c r="G86" s="60">
        <f>G85+G84</f>
        <v>-75.521160000000009</v>
      </c>
      <c r="H86" s="60">
        <f>H85+H84</f>
        <v>-39.243204000000006</v>
      </c>
      <c r="I86" s="34" t="s">
        <v>89</v>
      </c>
    </row>
    <row r="87" spans="1:16" x14ac:dyDescent="0.25">
      <c r="A87" s="179"/>
      <c r="C87" s="19" t="s">
        <v>512</v>
      </c>
      <c r="D87" s="82"/>
      <c r="E87" s="12">
        <f>IF(E86&gt;0,"NA",-ROUND(E86,0))</f>
        <v>131</v>
      </c>
      <c r="F87" s="12">
        <f>IF(F86&gt;0,"NA",-ROUND(F86,0))</f>
        <v>118</v>
      </c>
      <c r="G87" s="12">
        <f>IF(G86&gt;0,"NA",-ROUND(G86,0))</f>
        <v>76</v>
      </c>
      <c r="H87" s="12">
        <f>IF(H86&gt;0,"NA",-ROUND(H86,0))</f>
        <v>39</v>
      </c>
      <c r="I87" s="6"/>
    </row>
    <row r="94" spans="1:16" x14ac:dyDescent="0.25">
      <c r="C94" s="138"/>
    </row>
    <row r="98" spans="3:3" x14ac:dyDescent="0.25">
      <c r="C98" s="139"/>
    </row>
    <row r="99" spans="3:3" x14ac:dyDescent="0.25">
      <c r="C99" s="139"/>
    </row>
  </sheetData>
  <dataValidations count="3">
    <dataValidation type="list" allowBlank="1" showInputMessage="1" showErrorMessage="1" sqref="E80:H80" xr:uid="{8D4B7EB1-D50E-4CED-B7CA-4C03C43C17DF}">
      <formula1>$M$69:$M$73</formula1>
    </dataValidation>
    <dataValidation type="list" allowBlank="1" showInputMessage="1" showErrorMessage="1" sqref="E79" xr:uid="{CA093F06-5487-42ED-8D2A-6ABAF8D7AD9E}">
      <formula1>$L$69:$L$70</formula1>
    </dataValidation>
    <dataValidation type="list" allowBlank="1" showInputMessage="1" showErrorMessage="1" sqref="L9" xr:uid="{E30F99F8-9B38-4548-A7EE-F667DBD12CF5}">
      <formula1>$L$13:$L$14</formula1>
    </dataValidation>
  </dataValidations>
  <pageMargins left="0.7" right="0.7" top="0.75" bottom="0.75" header="0.3" footer="0.3"/>
  <pageSetup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F36D6-11F7-4ECC-9903-9CCB4B43780B}">
  <dimension ref="B1:N75"/>
  <sheetViews>
    <sheetView zoomScaleNormal="100" workbookViewId="0">
      <pane ySplit="3" topLeftCell="A4" activePane="bottomLeft" state="frozen"/>
      <selection pane="bottomLeft" activeCell="D35" sqref="D35"/>
    </sheetView>
  </sheetViews>
  <sheetFormatPr defaultRowHeight="15" x14ac:dyDescent="0.25"/>
  <cols>
    <col min="1" max="1" width="2.5703125" customWidth="1"/>
    <col min="2" max="2" width="4.42578125" style="3" customWidth="1"/>
    <col min="3" max="3" width="36.140625" style="2" customWidth="1"/>
    <col min="4" max="7" width="9.7109375" customWidth="1"/>
    <col min="8" max="8" width="54.140625" style="2" customWidth="1"/>
    <col min="11" max="11" width="10" bestFit="1" customWidth="1"/>
  </cols>
  <sheetData>
    <row r="1" spans="2:14" ht="15.75" thickTop="1" x14ac:dyDescent="0.25">
      <c r="B1" s="28" t="s">
        <v>658</v>
      </c>
      <c r="C1" s="28"/>
      <c r="D1" s="28"/>
      <c r="E1" s="28"/>
      <c r="F1" s="29"/>
      <c r="G1" s="29"/>
      <c r="H1" s="30"/>
    </row>
    <row r="2" spans="2:14" x14ac:dyDescent="0.25">
      <c r="D2" s="95" t="s">
        <v>1</v>
      </c>
      <c r="E2" s="95"/>
      <c r="F2" s="95"/>
      <c r="G2" s="95"/>
    </row>
    <row r="3" spans="2:14" ht="15.75" thickBot="1" x14ac:dyDescent="0.3">
      <c r="B3" s="35" t="s">
        <v>2</v>
      </c>
      <c r="C3" s="17" t="s">
        <v>3</v>
      </c>
      <c r="D3" s="13">
        <v>2025</v>
      </c>
      <c r="E3" s="13">
        <v>2030</v>
      </c>
      <c r="F3" s="13">
        <v>2040</v>
      </c>
      <c r="G3" s="13">
        <v>2050</v>
      </c>
      <c r="H3" s="17" t="s">
        <v>61</v>
      </c>
    </row>
    <row r="4" spans="2:14" ht="15.75" thickTop="1" x14ac:dyDescent="0.25">
      <c r="B4" s="36"/>
      <c r="C4" s="36" t="s">
        <v>70</v>
      </c>
      <c r="D4" s="36"/>
      <c r="E4" s="36"/>
      <c r="F4" s="93"/>
      <c r="G4" s="93"/>
      <c r="H4" s="96"/>
    </row>
    <row r="5" spans="2:14" x14ac:dyDescent="0.25">
      <c r="C5" s="6" t="s">
        <v>127</v>
      </c>
      <c r="D5" s="7">
        <f>[2]Emissions!$H$12</f>
        <v>2945.2690166975881</v>
      </c>
      <c r="E5" s="7">
        <f>[2]Emissions!$M$12</f>
        <v>2697.5361087510614</v>
      </c>
      <c r="F5" s="7">
        <f>[2]Emissions!$W$12</f>
        <v>2405.3030303030305</v>
      </c>
      <c r="G5" s="7">
        <f>[2]Emissions!$AG$12</f>
        <v>2346.6371027346636</v>
      </c>
      <c r="H5" s="6" t="s">
        <v>125</v>
      </c>
      <c r="K5" s="1" t="s">
        <v>386</v>
      </c>
      <c r="L5" s="1"/>
      <c r="M5" s="1"/>
      <c r="N5" s="1" t="s">
        <v>380</v>
      </c>
    </row>
    <row r="6" spans="2:14" x14ac:dyDescent="0.25">
      <c r="C6" s="6" t="s">
        <v>128</v>
      </c>
      <c r="D6" s="7">
        <f>D5/1.2</f>
        <v>2454.3908472479902</v>
      </c>
      <c r="E6" s="7">
        <f>E5/1.2</f>
        <v>2247.9467572925514</v>
      </c>
      <c r="F6" s="7">
        <f>F5/1.2</f>
        <v>2004.4191919191921</v>
      </c>
      <c r="G6" s="7">
        <f>G5/1.2</f>
        <v>1955.5309189455531</v>
      </c>
      <c r="H6" s="6" t="s">
        <v>129</v>
      </c>
      <c r="K6">
        <v>53.07</v>
      </c>
      <c r="L6" s="141" t="s">
        <v>378</v>
      </c>
      <c r="N6" t="s">
        <v>381</v>
      </c>
    </row>
    <row r="7" spans="2:14" ht="30" x14ac:dyDescent="0.25">
      <c r="C7" s="6" t="s">
        <v>376</v>
      </c>
      <c r="D7" s="61">
        <f>D5*$K$14</f>
        <v>1774.5950651787755</v>
      </c>
      <c r="E7" s="61">
        <f>E5*$K$14</f>
        <v>1625.3300596964482</v>
      </c>
      <c r="F7" s="61">
        <f>F5*$K$14</f>
        <v>1449.2526365626668</v>
      </c>
      <c r="G7" s="61">
        <f>G5*$K$14</f>
        <v>1413.9050112806503</v>
      </c>
      <c r="H7" s="6" t="s">
        <v>397</v>
      </c>
      <c r="K7" s="140">
        <v>120238.09523809524</v>
      </c>
      <c r="L7" s="141" t="s">
        <v>379</v>
      </c>
      <c r="N7" t="s">
        <v>382</v>
      </c>
    </row>
    <row r="8" spans="2:14" x14ac:dyDescent="0.25">
      <c r="C8" s="6" t="s">
        <v>130</v>
      </c>
      <c r="D8" s="7">
        <v>0</v>
      </c>
      <c r="E8" s="7">
        <v>0</v>
      </c>
      <c r="F8" s="7">
        <v>0</v>
      </c>
      <c r="G8" s="7">
        <v>0</v>
      </c>
      <c r="H8" s="6" t="s">
        <v>126</v>
      </c>
      <c r="K8" s="140">
        <f>K6/1000*K7</f>
        <v>6381.0357142857138</v>
      </c>
      <c r="L8" s="141" t="s">
        <v>377</v>
      </c>
    </row>
    <row r="9" spans="2:14" ht="30" x14ac:dyDescent="0.25">
      <c r="C9" s="6" t="s">
        <v>131</v>
      </c>
      <c r="D9" s="7">
        <f>[1]Baseline!$T$107*1000</f>
        <v>1242.9114329734577</v>
      </c>
      <c r="E9" s="7">
        <f>[1]Baseline!$X$107*1000</f>
        <v>1150.0373277059566</v>
      </c>
      <c r="F9" s="7">
        <f>[1]Baseline!$AH$107*1000</f>
        <v>1007.1480945377094</v>
      </c>
      <c r="G9" s="7">
        <f>F9</f>
        <v>1007.1480945377094</v>
      </c>
      <c r="H9" s="6" t="s">
        <v>132</v>
      </c>
      <c r="K9">
        <v>1.1100000000000001</v>
      </c>
      <c r="L9" s="141" t="s">
        <v>384</v>
      </c>
    </row>
    <row r="10" spans="2:14" x14ac:dyDescent="0.25">
      <c r="C10" s="6" t="s">
        <v>133</v>
      </c>
      <c r="D10" s="7">
        <v>0</v>
      </c>
      <c r="E10" s="7">
        <v>0</v>
      </c>
      <c r="F10" s="7">
        <v>0</v>
      </c>
      <c r="G10" s="7">
        <v>0</v>
      </c>
      <c r="H10" s="6" t="s">
        <v>126</v>
      </c>
      <c r="K10">
        <v>0.94</v>
      </c>
      <c r="L10" s="141" t="s">
        <v>383</v>
      </c>
    </row>
    <row r="11" spans="2:14" ht="30" x14ac:dyDescent="0.25">
      <c r="C11" s="6" t="s">
        <v>134</v>
      </c>
      <c r="D11" s="7">
        <f>[1]Baseline!$T$104*1000</f>
        <v>1010.5969810494981</v>
      </c>
      <c r="E11" s="7">
        <f>[1]Baseline!$X$104*1000</f>
        <v>936.17991726124649</v>
      </c>
      <c r="F11" s="7">
        <f>[1]Baseline!$AH$104*1000</f>
        <v>809.4161987893159</v>
      </c>
      <c r="G11" s="7">
        <f>F11</f>
        <v>809.4161987893159</v>
      </c>
      <c r="H11" s="6" t="s">
        <v>135</v>
      </c>
      <c r="K11" s="142">
        <f>K8/K9/K10</f>
        <v>6115.6178975327903</v>
      </c>
      <c r="L11" s="141" t="s">
        <v>385</v>
      </c>
    </row>
    <row r="12" spans="2:14" x14ac:dyDescent="0.25">
      <c r="C12" s="6" t="s">
        <v>136</v>
      </c>
      <c r="D12" s="7">
        <v>0</v>
      </c>
      <c r="E12" s="7">
        <v>0</v>
      </c>
      <c r="F12" s="7">
        <v>0</v>
      </c>
      <c r="G12" s="7">
        <v>0</v>
      </c>
      <c r="H12" s="6" t="s">
        <v>126</v>
      </c>
      <c r="K12" s="1" t="s">
        <v>387</v>
      </c>
    </row>
    <row r="13" spans="2:14" ht="30" x14ac:dyDescent="0.25">
      <c r="C13" s="6" t="s">
        <v>137</v>
      </c>
      <c r="D13" s="7">
        <f>[1]Baseline!$T$105*1000</f>
        <v>1285.9459119712146</v>
      </c>
      <c r="E13" s="7">
        <f>[1]Baseline!$X$105*1000</f>
        <v>1198.8356512547828</v>
      </c>
      <c r="F13" s="7">
        <f>[1]Baseline!$AH$105*1000</f>
        <v>1074.2545022435372</v>
      </c>
      <c r="G13" s="7">
        <f>F13</f>
        <v>1074.2545022435372</v>
      </c>
      <c r="H13" s="6" t="s">
        <v>138</v>
      </c>
      <c r="K13" s="69">
        <v>10150</v>
      </c>
      <c r="L13" s="141" t="s">
        <v>385</v>
      </c>
    </row>
    <row r="14" spans="2:14" x14ac:dyDescent="0.25">
      <c r="C14" s="6" t="s">
        <v>139</v>
      </c>
      <c r="D14" s="7">
        <v>0</v>
      </c>
      <c r="E14" s="7">
        <v>0</v>
      </c>
      <c r="F14" s="7">
        <v>0</v>
      </c>
      <c r="G14" s="7">
        <v>0</v>
      </c>
      <c r="H14" s="6" t="s">
        <v>126</v>
      </c>
      <c r="K14" s="143">
        <f>K11/K13</f>
        <v>0.60252393079140787</v>
      </c>
      <c r="L14" s="141" t="s">
        <v>388</v>
      </c>
    </row>
    <row r="15" spans="2:14" x14ac:dyDescent="0.25">
      <c r="C15" s="6" t="s">
        <v>140</v>
      </c>
      <c r="D15" s="7">
        <v>0</v>
      </c>
      <c r="E15" s="7">
        <v>0</v>
      </c>
      <c r="F15" s="7">
        <v>0</v>
      </c>
      <c r="G15" s="7">
        <v>0</v>
      </c>
      <c r="H15" s="6" t="s">
        <v>126</v>
      </c>
      <c r="L15" s="141" t="s">
        <v>389</v>
      </c>
    </row>
    <row r="16" spans="2:14" ht="15.75" thickBot="1" x14ac:dyDescent="0.3">
      <c r="C16" s="6"/>
      <c r="D16" s="3"/>
      <c r="E16" s="3"/>
      <c r="F16" s="3"/>
      <c r="G16" s="3"/>
      <c r="H16" s="6"/>
    </row>
    <row r="17" spans="2:10" ht="15.75" thickTop="1" x14ac:dyDescent="0.25">
      <c r="B17" s="36"/>
      <c r="C17" s="36" t="s">
        <v>141</v>
      </c>
      <c r="D17" s="36"/>
      <c r="E17" s="36"/>
      <c r="F17" s="93"/>
      <c r="G17" s="93"/>
      <c r="H17" s="98"/>
    </row>
    <row r="18" spans="2:10" x14ac:dyDescent="0.25">
      <c r="C18" s="6" t="s">
        <v>142</v>
      </c>
      <c r="D18" s="7">
        <v>31396</v>
      </c>
      <c r="E18" s="7"/>
      <c r="F18" s="7"/>
      <c r="G18" s="7"/>
      <c r="H18" s="6" t="s">
        <v>125</v>
      </c>
    </row>
    <row r="19" spans="2:10" ht="30" x14ac:dyDescent="0.25">
      <c r="C19" s="6" t="s">
        <v>143</v>
      </c>
      <c r="D19" s="7">
        <v>9939</v>
      </c>
      <c r="E19" s="7"/>
      <c r="F19" s="7"/>
      <c r="G19" s="7"/>
      <c r="H19" s="6" t="s">
        <v>144</v>
      </c>
    </row>
    <row r="20" spans="2:10" ht="30" x14ac:dyDescent="0.25">
      <c r="C20" s="6" t="s">
        <v>145</v>
      </c>
      <c r="D20" s="7">
        <v>18386.619052924791</v>
      </c>
      <c r="E20" s="7"/>
      <c r="F20" s="7"/>
      <c r="G20" s="7"/>
      <c r="H20" s="6" t="s">
        <v>146</v>
      </c>
    </row>
    <row r="21" spans="2:10" ht="30" x14ac:dyDescent="0.25">
      <c r="C21" s="6" t="s">
        <v>147</v>
      </c>
      <c r="D21" s="7">
        <v>25185</v>
      </c>
      <c r="E21" s="7"/>
      <c r="F21" s="7"/>
      <c r="G21" s="7"/>
      <c r="H21" s="6" t="s">
        <v>148</v>
      </c>
    </row>
    <row r="22" spans="2:10" ht="30" x14ac:dyDescent="0.25">
      <c r="C22" s="6" t="s">
        <v>149</v>
      </c>
      <c r="D22" s="7">
        <v>41628</v>
      </c>
      <c r="E22" s="7"/>
      <c r="F22" s="7"/>
      <c r="G22" s="7"/>
      <c r="H22" s="6" t="s">
        <v>150</v>
      </c>
    </row>
    <row r="23" spans="2:10" ht="15.75" thickBot="1" x14ac:dyDescent="0.3">
      <c r="C23" s="6"/>
      <c r="D23" s="7"/>
      <c r="E23" s="7"/>
      <c r="F23" s="7"/>
      <c r="G23" s="7"/>
      <c r="H23" s="6"/>
    </row>
    <row r="24" spans="2:10" ht="15.75" thickTop="1" x14ac:dyDescent="0.25">
      <c r="B24" s="36"/>
      <c r="C24" s="36" t="s">
        <v>390</v>
      </c>
      <c r="D24" s="36"/>
      <c r="E24" s="36"/>
      <c r="F24" s="93"/>
      <c r="G24" s="93"/>
      <c r="H24" s="96"/>
    </row>
    <row r="25" spans="2:10" x14ac:dyDescent="0.25">
      <c r="C25" s="6" t="s">
        <v>151</v>
      </c>
      <c r="D25" s="11">
        <f>$D18*(D6-D$5)/1000000</f>
        <v>-15.411611008039575</v>
      </c>
      <c r="E25" s="11">
        <f>$D18*(E6-E$5)/1000000</f>
        <v>-14.115307278391381</v>
      </c>
      <c r="F25" s="11">
        <f>$D18*(F6-F$5)/1000000</f>
        <v>-12.586148989898989</v>
      </c>
      <c r="G25" s="11">
        <f>$D18*(G6-G$5)/1000000</f>
        <v>-12.279169746242912</v>
      </c>
      <c r="H25" s="34" t="s">
        <v>152</v>
      </c>
      <c r="J25" t="s">
        <v>660</v>
      </c>
    </row>
    <row r="26" spans="2:10" x14ac:dyDescent="0.25">
      <c r="C26" s="6" t="s">
        <v>394</v>
      </c>
      <c r="D26" s="155">
        <f>$D18*(D7-D$5)/1000000</f>
        <v>-36.754479381884643</v>
      </c>
      <c r="E26" s="155">
        <f>$D18*(E7-E$5)/1000000</f>
        <v>-33.662981116118637</v>
      </c>
      <c r="F26" s="155">
        <f>$D18*(F7-F$5)/1000000</f>
        <v>-30.016158161872458</v>
      </c>
      <c r="G26" s="155">
        <f>$D18*(G7-G$5)/1000000</f>
        <v>-29.284056743290201</v>
      </c>
      <c r="H26" s="34" t="s">
        <v>395</v>
      </c>
    </row>
    <row r="27" spans="2:10" x14ac:dyDescent="0.25">
      <c r="C27" s="6" t="s">
        <v>153</v>
      </c>
      <c r="D27" s="11">
        <f>$D18*(D8-D$5)/1000000</f>
        <v>-92.469666048237471</v>
      </c>
      <c r="E27" s="11">
        <f>$D18*(E8-E$5)/1000000</f>
        <v>-84.691843670348334</v>
      </c>
      <c r="F27" s="11">
        <f>$D18*(F8-F$5)/1000000</f>
        <v>-75.516893939393938</v>
      </c>
      <c r="G27" s="11">
        <f>$D18*(G8-G$5)/1000000</f>
        <v>-73.675018477457499</v>
      </c>
      <c r="H27" s="34" t="s">
        <v>154</v>
      </c>
    </row>
    <row r="28" spans="2:10" x14ac:dyDescent="0.25">
      <c r="C28" s="6" t="s">
        <v>391</v>
      </c>
      <c r="D28" s="11">
        <f>$D19*(D10-D9)/1000000</f>
        <v>-12.353296732323196</v>
      </c>
      <c r="E28" s="11">
        <f>$D19*(E10-E9)/1000000</f>
        <v>-11.430221000069503</v>
      </c>
      <c r="F28" s="11">
        <f>$D19*(F10-F9)/1000000</f>
        <v>-10.010044911610294</v>
      </c>
      <c r="G28" s="11">
        <f>$D19*(G10-G9)/1000000</f>
        <v>-10.010044911610294</v>
      </c>
      <c r="H28" s="34" t="s">
        <v>154</v>
      </c>
    </row>
    <row r="29" spans="2:10" x14ac:dyDescent="0.25">
      <c r="C29" s="6" t="s">
        <v>392</v>
      </c>
      <c r="D29" s="11">
        <f>$D20*(D12-D11)/1000000</f>
        <v>-18.581461706592979</v>
      </c>
      <c r="E29" s="11">
        <f>$D20*(E12-E11)/1000000</f>
        <v>-17.21318350368119</v>
      </c>
      <c r="F29" s="11">
        <f>$D20*(F12-F11)/1000000</f>
        <v>-14.882427302405596</v>
      </c>
      <c r="G29" s="11">
        <f>$D20*(G12-G11)/1000000</f>
        <v>-14.882427302405596</v>
      </c>
      <c r="H29" s="34" t="s">
        <v>154</v>
      </c>
    </row>
    <row r="30" spans="2:10" x14ac:dyDescent="0.25">
      <c r="C30" s="6" t="s">
        <v>393</v>
      </c>
      <c r="D30" s="11">
        <f>$D21*(D14-D13)/1000000</f>
        <v>-32.386547792995039</v>
      </c>
      <c r="E30" s="11">
        <f>$D21*(E14-E13)/1000000</f>
        <v>-30.192675876851705</v>
      </c>
      <c r="F30" s="11">
        <f>$D21*(F14-F13)/1000000</f>
        <v>-27.055099639003487</v>
      </c>
      <c r="G30" s="11">
        <f>$D21*(G14-G13)/1000000</f>
        <v>-27.055099639003487</v>
      </c>
      <c r="H30" s="34" t="s">
        <v>154</v>
      </c>
    </row>
    <row r="31" spans="2:10" ht="15.75" thickBot="1" x14ac:dyDescent="0.3">
      <c r="C31" s="6"/>
      <c r="D31" s="3"/>
      <c r="E31" s="3"/>
      <c r="F31" s="3"/>
      <c r="G31" s="3"/>
      <c r="H31" s="6"/>
    </row>
    <row r="32" spans="2:10" ht="15.75" thickTop="1" x14ac:dyDescent="0.25">
      <c r="C32" s="36" t="s">
        <v>396</v>
      </c>
      <c r="D32" s="36"/>
      <c r="E32" s="36"/>
      <c r="F32" s="93"/>
      <c r="G32" s="93"/>
      <c r="H32" s="98" t="s">
        <v>532</v>
      </c>
    </row>
    <row r="33" spans="3:8" x14ac:dyDescent="0.25">
      <c r="C33" s="6" t="s">
        <v>151</v>
      </c>
      <c r="D33" s="12">
        <f t="shared" ref="D33:G38" si="0">-ROUND(D25,0)</f>
        <v>15</v>
      </c>
      <c r="E33" s="12">
        <f t="shared" si="0"/>
        <v>14</v>
      </c>
      <c r="F33" s="12">
        <f t="shared" si="0"/>
        <v>13</v>
      </c>
      <c r="G33" s="12">
        <f t="shared" si="0"/>
        <v>12</v>
      </c>
      <c r="H33" s="6"/>
    </row>
    <row r="34" spans="3:8" x14ac:dyDescent="0.25">
      <c r="C34" s="6" t="s">
        <v>394</v>
      </c>
      <c r="D34" s="12">
        <f t="shared" si="0"/>
        <v>37</v>
      </c>
      <c r="E34" s="12">
        <f t="shared" si="0"/>
        <v>34</v>
      </c>
      <c r="F34" s="12">
        <f t="shared" si="0"/>
        <v>30</v>
      </c>
      <c r="G34" s="12">
        <f t="shared" si="0"/>
        <v>29</v>
      </c>
      <c r="H34" s="6"/>
    </row>
    <row r="35" spans="3:8" x14ac:dyDescent="0.25">
      <c r="C35" s="6" t="s">
        <v>153</v>
      </c>
      <c r="D35" s="12">
        <f t="shared" si="0"/>
        <v>92</v>
      </c>
      <c r="E35" s="12">
        <f t="shared" si="0"/>
        <v>85</v>
      </c>
      <c r="F35" s="12">
        <f t="shared" si="0"/>
        <v>76</v>
      </c>
      <c r="G35" s="12">
        <f t="shared" si="0"/>
        <v>74</v>
      </c>
      <c r="H35" s="6"/>
    </row>
    <row r="36" spans="3:8" x14ac:dyDescent="0.25">
      <c r="C36" s="6" t="s">
        <v>391</v>
      </c>
      <c r="D36" s="12">
        <f t="shared" si="0"/>
        <v>12</v>
      </c>
      <c r="E36" s="12">
        <f t="shared" si="0"/>
        <v>11</v>
      </c>
      <c r="F36" s="12">
        <f t="shared" si="0"/>
        <v>10</v>
      </c>
      <c r="G36" s="12">
        <f t="shared" si="0"/>
        <v>10</v>
      </c>
      <c r="H36" s="6"/>
    </row>
    <row r="37" spans="3:8" x14ac:dyDescent="0.25">
      <c r="C37" s="6" t="s">
        <v>392</v>
      </c>
      <c r="D37" s="12">
        <f t="shared" si="0"/>
        <v>19</v>
      </c>
      <c r="E37" s="12">
        <f t="shared" si="0"/>
        <v>17</v>
      </c>
      <c r="F37" s="12">
        <f t="shared" si="0"/>
        <v>15</v>
      </c>
      <c r="G37" s="12">
        <f t="shared" si="0"/>
        <v>15</v>
      </c>
      <c r="H37" s="6"/>
    </row>
    <row r="38" spans="3:8" x14ac:dyDescent="0.25">
      <c r="C38" s="6" t="s">
        <v>393</v>
      </c>
      <c r="D38" s="12">
        <f t="shared" si="0"/>
        <v>32</v>
      </c>
      <c r="E38" s="12">
        <f t="shared" si="0"/>
        <v>30</v>
      </c>
      <c r="F38" s="12">
        <f t="shared" si="0"/>
        <v>27</v>
      </c>
      <c r="G38" s="12">
        <f t="shared" si="0"/>
        <v>27</v>
      </c>
      <c r="H38" s="6"/>
    </row>
    <row r="39" spans="3:8" ht="15.75" thickBot="1" x14ac:dyDescent="0.3">
      <c r="C39" s="6"/>
      <c r="D39" s="3"/>
      <c r="E39" s="3"/>
      <c r="F39" s="3"/>
      <c r="G39" s="3"/>
      <c r="H39" s="6"/>
    </row>
    <row r="40" spans="3:8" ht="15.75" thickTop="1" x14ac:dyDescent="0.25">
      <c r="C40" s="36" t="s">
        <v>158</v>
      </c>
      <c r="D40" s="36"/>
      <c r="E40" s="36"/>
      <c r="F40" s="93"/>
      <c r="G40" s="93"/>
      <c r="H40" s="98" t="s">
        <v>159</v>
      </c>
    </row>
    <row r="41" spans="3:8" ht="30" x14ac:dyDescent="0.25">
      <c r="C41" s="6" t="s">
        <v>160</v>
      </c>
      <c r="D41" s="8">
        <v>0.1</v>
      </c>
      <c r="E41" s="8">
        <v>0.3</v>
      </c>
      <c r="F41" s="8">
        <v>0.3</v>
      </c>
      <c r="G41" s="8">
        <v>0.3</v>
      </c>
      <c r="H41" s="6" t="s">
        <v>161</v>
      </c>
    </row>
    <row r="42" spans="3:8" x14ac:dyDescent="0.25">
      <c r="C42" s="6" t="s">
        <v>162</v>
      </c>
      <c r="D42" s="97">
        <f>1/6</f>
        <v>0.16666666666666666</v>
      </c>
      <c r="E42" s="57">
        <f>D42</f>
        <v>0.16666666666666666</v>
      </c>
      <c r="F42" s="57">
        <f>E42</f>
        <v>0.16666666666666666</v>
      </c>
      <c r="G42" s="57">
        <f>F42</f>
        <v>0.16666666666666666</v>
      </c>
      <c r="H42" s="6"/>
    </row>
    <row r="43" spans="3:8" ht="30" x14ac:dyDescent="0.25">
      <c r="C43" s="6" t="s">
        <v>163</v>
      </c>
      <c r="D43" s="7">
        <v>16</v>
      </c>
      <c r="E43" s="27">
        <v>16</v>
      </c>
      <c r="F43" s="27">
        <f>E43</f>
        <v>16</v>
      </c>
      <c r="G43" s="27">
        <f>F43</f>
        <v>16</v>
      </c>
      <c r="H43" s="6" t="s">
        <v>164</v>
      </c>
    </row>
    <row r="44" spans="3:8" ht="30" x14ac:dyDescent="0.25">
      <c r="C44" s="6" t="s">
        <v>165</v>
      </c>
      <c r="D44" s="4">
        <f>D43*1/D42*D41</f>
        <v>9.6000000000000014</v>
      </c>
      <c r="E44" s="4">
        <f>E43*1/E42*E41</f>
        <v>28.799999999999997</v>
      </c>
      <c r="F44" s="4">
        <f>F43*1/F42*F41</f>
        <v>28.799999999999997</v>
      </c>
      <c r="G44" s="4">
        <f>G43*1/G42*G41</f>
        <v>28.799999999999997</v>
      </c>
      <c r="H44" s="34" t="s">
        <v>166</v>
      </c>
    </row>
    <row r="45" spans="3:8" x14ac:dyDescent="0.25">
      <c r="C45" s="6" t="s">
        <v>167</v>
      </c>
      <c r="D45" s="70">
        <v>0.1</v>
      </c>
      <c r="E45" s="70">
        <v>0.4</v>
      </c>
      <c r="F45" s="70">
        <v>1</v>
      </c>
      <c r="G45" s="70">
        <v>1</v>
      </c>
      <c r="H45" s="34" t="s">
        <v>168</v>
      </c>
    </row>
    <row r="46" spans="3:8" x14ac:dyDescent="0.25">
      <c r="C46" s="6" t="s">
        <v>169</v>
      </c>
      <c r="D46" s="4"/>
      <c r="E46" s="4"/>
      <c r="F46" s="4"/>
      <c r="G46" s="4"/>
      <c r="H46" s="34"/>
    </row>
    <row r="47" spans="3:8" ht="30" x14ac:dyDescent="0.25">
      <c r="C47" s="20" t="s">
        <v>170</v>
      </c>
      <c r="D47" s="4">
        <v>115.6</v>
      </c>
      <c r="E47" s="5">
        <f t="shared" ref="E47:G48" si="1">D47</f>
        <v>115.6</v>
      </c>
      <c r="F47" s="5">
        <f t="shared" si="1"/>
        <v>115.6</v>
      </c>
      <c r="G47" s="5">
        <f t="shared" si="1"/>
        <v>115.6</v>
      </c>
      <c r="H47" s="34" t="s">
        <v>171</v>
      </c>
    </row>
    <row r="48" spans="3:8" ht="30" x14ac:dyDescent="0.25">
      <c r="C48" s="20" t="s">
        <v>172</v>
      </c>
      <c r="D48" s="4">
        <v>62.1</v>
      </c>
      <c r="E48" s="5">
        <f t="shared" si="1"/>
        <v>62.1</v>
      </c>
      <c r="F48" s="5">
        <f t="shared" si="1"/>
        <v>62.1</v>
      </c>
      <c r="G48" s="5">
        <f t="shared" si="1"/>
        <v>62.1</v>
      </c>
      <c r="H48" s="34" t="s">
        <v>173</v>
      </c>
    </row>
    <row r="49" spans="3:8" x14ac:dyDescent="0.25">
      <c r="C49" s="20" t="s">
        <v>174</v>
      </c>
      <c r="D49" s="4">
        <f>D47*(1-D45)+D48*D45</f>
        <v>110.25</v>
      </c>
      <c r="E49" s="4">
        <f>E47*(1-E45)+E48*E45</f>
        <v>94.2</v>
      </c>
      <c r="F49" s="4">
        <f>F47*(1-F45)+F48*F45</f>
        <v>62.1</v>
      </c>
      <c r="G49" s="4">
        <f>G47*(1-G45)+G48*G45</f>
        <v>62.1</v>
      </c>
      <c r="H49" s="34" t="s">
        <v>175</v>
      </c>
    </row>
    <row r="50" spans="3:8" x14ac:dyDescent="0.25">
      <c r="C50" s="25" t="s">
        <v>176</v>
      </c>
      <c r="D50" s="61">
        <f>D49*136</f>
        <v>14994</v>
      </c>
      <c r="E50" s="61">
        <f>E49*136</f>
        <v>12811.2</v>
      </c>
      <c r="F50" s="61">
        <f>F49*136</f>
        <v>8445.6</v>
      </c>
      <c r="G50" s="61">
        <f>G49*136</f>
        <v>8445.6</v>
      </c>
      <c r="H50" s="34" t="s">
        <v>177</v>
      </c>
    </row>
    <row r="51" spans="3:8" x14ac:dyDescent="0.25">
      <c r="C51" s="25" t="s">
        <v>178</v>
      </c>
      <c r="D51" s="4">
        <v>6.8</v>
      </c>
      <c r="E51" s="4">
        <v>7.5</v>
      </c>
      <c r="F51" s="4">
        <v>8.4</v>
      </c>
      <c r="G51" s="4">
        <v>8.5</v>
      </c>
      <c r="H51" s="34" t="s">
        <v>179</v>
      </c>
    </row>
    <row r="52" spans="3:8" x14ac:dyDescent="0.25">
      <c r="C52" s="25" t="s">
        <v>180</v>
      </c>
      <c r="D52" s="4">
        <v>2</v>
      </c>
      <c r="E52" s="5">
        <f>D52</f>
        <v>2</v>
      </c>
      <c r="F52" s="5">
        <f>E52</f>
        <v>2</v>
      </c>
      <c r="G52" s="5">
        <f>F52</f>
        <v>2</v>
      </c>
      <c r="H52" s="34" t="s">
        <v>181</v>
      </c>
    </row>
    <row r="53" spans="3:8" x14ac:dyDescent="0.25">
      <c r="C53" s="25" t="s">
        <v>182</v>
      </c>
      <c r="D53" s="61">
        <f>D50/D51/D52</f>
        <v>1102.5</v>
      </c>
      <c r="E53" s="61">
        <f>E50/E51/E52</f>
        <v>854.08</v>
      </c>
      <c r="F53" s="61">
        <f>F50/F51/F52</f>
        <v>502.71428571428572</v>
      </c>
      <c r="G53" s="61">
        <f>G50/G51/G52</f>
        <v>496.8</v>
      </c>
      <c r="H53" s="34" t="s">
        <v>183</v>
      </c>
    </row>
    <row r="54" spans="3:8" x14ac:dyDescent="0.25">
      <c r="C54" s="6" t="s">
        <v>156</v>
      </c>
      <c r="D54" s="3"/>
      <c r="E54" s="3"/>
      <c r="F54" s="3"/>
      <c r="G54" s="3"/>
      <c r="H54" s="6"/>
    </row>
    <row r="55" spans="3:8" x14ac:dyDescent="0.25">
      <c r="C55" s="20" t="s">
        <v>184</v>
      </c>
      <c r="D55" s="11">
        <f>(D53-D13)*$D21/1000000</f>
        <v>-4.6200852929950402</v>
      </c>
      <c r="E55" s="11">
        <f>(E53-E13)*$D21/1000000</f>
        <v>-8.6826710768517028</v>
      </c>
      <c r="F55" s="11">
        <f>(F53-F13)*$D21/1000000</f>
        <v>-14.394240353289199</v>
      </c>
      <c r="G55" s="11">
        <f>(G53-G13)*$D21/1000000</f>
        <v>-14.543191639003485</v>
      </c>
      <c r="H55" s="34" t="s">
        <v>157</v>
      </c>
    </row>
    <row r="56" spans="3:8" x14ac:dyDescent="0.25">
      <c r="C56" s="20" t="s">
        <v>185</v>
      </c>
      <c r="D56" s="11">
        <f>D44*D55</f>
        <v>-44.352818812752396</v>
      </c>
      <c r="E56" s="11">
        <f>E44*E55</f>
        <v>-250.06092701332901</v>
      </c>
      <c r="F56" s="11">
        <f>F44*F55</f>
        <v>-414.55412217472889</v>
      </c>
      <c r="G56" s="11">
        <f>G44*G55</f>
        <v>-418.84391920330035</v>
      </c>
      <c r="H56" s="34" t="s">
        <v>186</v>
      </c>
    </row>
    <row r="57" spans="3:8" x14ac:dyDescent="0.25">
      <c r="C57" s="6" t="s">
        <v>187</v>
      </c>
      <c r="D57" s="12">
        <f>-ROUND(D56,0)</f>
        <v>44</v>
      </c>
      <c r="E57" s="12">
        <f>-ROUND(E56,0)</f>
        <v>250</v>
      </c>
      <c r="F57" s="12">
        <f>-ROUND(F56,0)</f>
        <v>415</v>
      </c>
      <c r="G57" s="12">
        <f>-ROUND(G56,0)</f>
        <v>419</v>
      </c>
      <c r="H57" s="6"/>
    </row>
    <row r="75" spans="3:3" x14ac:dyDescent="0.25">
      <c r="C75" s="68"/>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F7A23-7FB3-4ACC-A6DB-8C7C2164B258}">
  <dimension ref="B1:H175"/>
  <sheetViews>
    <sheetView zoomScale="110" zoomScaleNormal="110" workbookViewId="0">
      <pane ySplit="3" topLeftCell="A85" activePane="bottomLeft" state="frozen"/>
      <selection pane="bottomLeft" activeCell="J77" sqref="J77"/>
    </sheetView>
  </sheetViews>
  <sheetFormatPr defaultRowHeight="15" x14ac:dyDescent="0.25"/>
  <cols>
    <col min="1" max="1" width="2.5703125" customWidth="1"/>
    <col min="2" max="2" width="4.42578125" style="3" customWidth="1"/>
    <col min="3" max="3" width="38.28515625" style="2" customWidth="1"/>
    <col min="4" max="7" width="9.7109375" customWidth="1"/>
    <col min="8" max="8" width="51.42578125" style="2" customWidth="1"/>
  </cols>
  <sheetData>
    <row r="1" spans="2:8" ht="15.75" thickTop="1" x14ac:dyDescent="0.25">
      <c r="B1" s="28" t="s">
        <v>124</v>
      </c>
      <c r="C1" s="28"/>
      <c r="D1" s="28"/>
      <c r="E1" s="28"/>
      <c r="F1" s="29"/>
      <c r="G1" s="29"/>
      <c r="H1" s="30"/>
    </row>
    <row r="2" spans="2:8" x14ac:dyDescent="0.25">
      <c r="D2" s="95" t="s">
        <v>1</v>
      </c>
      <c r="E2" s="95"/>
      <c r="F2" s="95"/>
      <c r="G2" s="95"/>
    </row>
    <row r="3" spans="2:8" ht="15.75" thickBot="1" x14ac:dyDescent="0.3">
      <c r="B3" s="66" t="s">
        <v>2</v>
      </c>
      <c r="C3" s="66" t="s">
        <v>3</v>
      </c>
      <c r="D3" s="103">
        <v>2025</v>
      </c>
      <c r="E3" s="103">
        <v>2030</v>
      </c>
      <c r="F3" s="103">
        <v>2040</v>
      </c>
      <c r="G3" s="103">
        <v>2050</v>
      </c>
      <c r="H3" s="66" t="s">
        <v>61</v>
      </c>
    </row>
    <row r="4" spans="2:8" ht="15.75" thickTop="1" x14ac:dyDescent="0.25">
      <c r="B4" s="98"/>
      <c r="C4" s="98" t="s">
        <v>6</v>
      </c>
      <c r="D4" s="98"/>
      <c r="E4" s="98"/>
      <c r="F4" s="96"/>
      <c r="G4" s="96"/>
      <c r="H4" s="96"/>
    </row>
    <row r="5" spans="2:8" x14ac:dyDescent="0.25">
      <c r="B5" s="6" t="s">
        <v>7</v>
      </c>
      <c r="C5" s="6" t="s">
        <v>8</v>
      </c>
      <c r="D5" s="186">
        <v>341</v>
      </c>
      <c r="E5" s="186">
        <v>281</v>
      </c>
      <c r="F5" s="186">
        <v>163</v>
      </c>
      <c r="G5" s="186">
        <v>77</v>
      </c>
      <c r="H5" s="6" t="s">
        <v>9</v>
      </c>
    </row>
    <row r="6" spans="2:8" x14ac:dyDescent="0.25">
      <c r="B6" s="6" t="s">
        <v>188</v>
      </c>
      <c r="C6" s="6" t="s">
        <v>189</v>
      </c>
      <c r="D6" s="105">
        <v>10.5</v>
      </c>
      <c r="E6" s="106"/>
      <c r="F6" s="106"/>
      <c r="G6" s="106"/>
      <c r="H6" s="6" t="s">
        <v>549</v>
      </c>
    </row>
    <row r="7" spans="2:8" x14ac:dyDescent="0.25">
      <c r="B7" s="6" t="s">
        <v>191</v>
      </c>
      <c r="C7" s="25" t="s">
        <v>29</v>
      </c>
      <c r="D7" s="107">
        <v>300</v>
      </c>
      <c r="E7" s="108"/>
      <c r="F7" s="108"/>
      <c r="G7" s="108"/>
      <c r="H7" s="6"/>
    </row>
    <row r="8" spans="2:8" x14ac:dyDescent="0.25">
      <c r="B8" s="6"/>
      <c r="C8" s="58" t="s">
        <v>192</v>
      </c>
      <c r="D8" s="6"/>
      <c r="E8" s="108"/>
      <c r="F8" s="108"/>
      <c r="G8" s="108"/>
      <c r="H8" s="34"/>
    </row>
    <row r="9" spans="2:8" x14ac:dyDescent="0.25">
      <c r="B9" s="6" t="s">
        <v>193</v>
      </c>
      <c r="C9" s="88" t="s">
        <v>155</v>
      </c>
      <c r="D9" s="104">
        <v>10450</v>
      </c>
      <c r="E9" s="108"/>
      <c r="F9" s="108"/>
      <c r="G9" s="108"/>
      <c r="H9" s="34" t="str">
        <f>'MD-HD'!H18</f>
        <v>CDOT (2021)</v>
      </c>
    </row>
    <row r="10" spans="2:8" x14ac:dyDescent="0.25">
      <c r="B10" s="6" t="s">
        <v>194</v>
      </c>
      <c r="C10" s="20" t="s">
        <v>195</v>
      </c>
      <c r="D10" s="109">
        <v>19642</v>
      </c>
      <c r="E10" s="108"/>
      <c r="F10" s="108"/>
      <c r="G10" s="108"/>
      <c r="H10" s="6" t="s">
        <v>196</v>
      </c>
    </row>
    <row r="11" spans="2:8" x14ac:dyDescent="0.25">
      <c r="B11" s="6" t="s">
        <v>197</v>
      </c>
      <c r="C11" s="20" t="s">
        <v>198</v>
      </c>
      <c r="D11" s="109">
        <f>12.8*2*250</f>
        <v>6400</v>
      </c>
      <c r="E11" s="108"/>
      <c r="F11" s="108"/>
      <c r="G11" s="108"/>
      <c r="H11" s="6" t="s">
        <v>199</v>
      </c>
    </row>
    <row r="12" spans="2:8" x14ac:dyDescent="0.25">
      <c r="B12" s="6"/>
      <c r="C12" s="25"/>
      <c r="D12" s="66"/>
      <c r="E12" s="66"/>
      <c r="F12" s="66"/>
      <c r="G12" s="66"/>
      <c r="H12" s="6"/>
    </row>
    <row r="13" spans="2:8" ht="15.75" thickBot="1" x14ac:dyDescent="0.3">
      <c r="B13" s="66"/>
      <c r="C13" s="110" t="s">
        <v>200</v>
      </c>
      <c r="D13" s="100"/>
      <c r="E13" s="100"/>
      <c r="F13" s="100"/>
      <c r="G13" s="100"/>
      <c r="H13" s="100" t="s">
        <v>534</v>
      </c>
    </row>
    <row r="14" spans="2:8" x14ac:dyDescent="0.25">
      <c r="B14" s="66"/>
      <c r="C14" s="58" t="s">
        <v>201</v>
      </c>
      <c r="D14" s="111">
        <v>-0.12</v>
      </c>
      <c r="E14" s="112"/>
      <c r="F14" s="112"/>
      <c r="G14" s="112"/>
      <c r="H14" s="6" t="s">
        <v>202</v>
      </c>
    </row>
    <row r="15" spans="2:8" x14ac:dyDescent="0.25">
      <c r="B15" s="66"/>
      <c r="C15" s="58" t="s">
        <v>203</v>
      </c>
      <c r="D15" s="113">
        <v>3.11</v>
      </c>
      <c r="E15" s="114"/>
      <c r="F15" s="114"/>
      <c r="G15" s="114"/>
      <c r="H15" s="6" t="s">
        <v>204</v>
      </c>
    </row>
    <row r="16" spans="2:8" x14ac:dyDescent="0.25">
      <c r="B16" s="66"/>
      <c r="C16" s="58" t="s">
        <v>205</v>
      </c>
      <c r="D16" s="115">
        <v>23.8</v>
      </c>
      <c r="E16" s="108"/>
      <c r="F16" s="108"/>
      <c r="G16" s="108"/>
      <c r="H16" s="6" t="s">
        <v>206</v>
      </c>
    </row>
    <row r="17" spans="2:8" x14ac:dyDescent="0.25">
      <c r="B17" s="66"/>
      <c r="C17" s="58" t="s">
        <v>207</v>
      </c>
      <c r="D17" s="116">
        <f>1/D6</f>
        <v>9.5238095238095233E-2</v>
      </c>
      <c r="E17" s="108"/>
      <c r="F17" s="108"/>
      <c r="G17" s="108"/>
      <c r="H17" s="6" t="s">
        <v>208</v>
      </c>
    </row>
    <row r="18" spans="2:8" x14ac:dyDescent="0.25">
      <c r="B18" s="66"/>
      <c r="C18" s="58" t="s">
        <v>209</v>
      </c>
      <c r="D18" s="116">
        <f>D17*D16</f>
        <v>2.2666666666666666</v>
      </c>
      <c r="E18" s="108"/>
      <c r="F18" s="108"/>
      <c r="G18" s="108"/>
      <c r="H18" s="34" t="s">
        <v>210</v>
      </c>
    </row>
    <row r="19" spans="2:8" ht="30" x14ac:dyDescent="0.25">
      <c r="B19" s="66"/>
      <c r="C19" s="58" t="s">
        <v>211</v>
      </c>
      <c r="D19" s="117">
        <v>0</v>
      </c>
      <c r="E19" s="108"/>
      <c r="F19" s="108"/>
      <c r="G19" s="108"/>
      <c r="H19" s="6" t="s">
        <v>212</v>
      </c>
    </row>
    <row r="20" spans="2:8" x14ac:dyDescent="0.25">
      <c r="B20" s="66"/>
      <c r="C20" s="58" t="s">
        <v>213</v>
      </c>
      <c r="D20" s="118">
        <f>(D18/D15)*D14*(1-D19)</f>
        <v>-8.7459807073954982E-2</v>
      </c>
      <c r="E20" s="108"/>
      <c r="F20" s="108"/>
      <c r="G20" s="108"/>
      <c r="H20" s="34" t="s">
        <v>214</v>
      </c>
    </row>
    <row r="21" spans="2:8" ht="30" x14ac:dyDescent="0.25">
      <c r="B21" s="66"/>
      <c r="C21" s="58" t="s">
        <v>215</v>
      </c>
      <c r="D21" s="119">
        <v>2</v>
      </c>
      <c r="E21" s="108"/>
      <c r="F21" s="108"/>
      <c r="G21" s="108"/>
      <c r="H21" s="6" t="s">
        <v>216</v>
      </c>
    </row>
    <row r="22" spans="2:8" x14ac:dyDescent="0.25">
      <c r="B22" s="6"/>
      <c r="C22" s="58" t="s">
        <v>217</v>
      </c>
      <c r="D22" s="120">
        <f>D6*D21*D7*D20</f>
        <v>-550.99678456591641</v>
      </c>
      <c r="E22" s="121">
        <f>D22</f>
        <v>-550.99678456591641</v>
      </c>
      <c r="F22" s="121">
        <f>E22</f>
        <v>-550.99678456591641</v>
      </c>
      <c r="G22" s="121">
        <f>F22</f>
        <v>-550.99678456591641</v>
      </c>
      <c r="H22" s="6"/>
    </row>
    <row r="23" spans="2:8" ht="30" x14ac:dyDescent="0.25">
      <c r="B23" s="6"/>
      <c r="C23" s="58" t="s">
        <v>533</v>
      </c>
      <c r="D23" s="115">
        <f>D22*D$5*1000/1000000</f>
        <v>-187.8899035369775</v>
      </c>
      <c r="E23" s="115">
        <f>E22*E$5*1000/1000000</f>
        <v>-154.83009646302253</v>
      </c>
      <c r="F23" s="115">
        <f>F22*F$5*1000/1000000</f>
        <v>-89.812475884244364</v>
      </c>
      <c r="G23" s="115">
        <f>G22*G$5*1000/1000000</f>
        <v>-42.426752411575563</v>
      </c>
      <c r="H23" s="34" t="s">
        <v>218</v>
      </c>
    </row>
    <row r="24" spans="2:8" x14ac:dyDescent="0.25">
      <c r="B24" s="6"/>
      <c r="C24" s="19" t="s">
        <v>535</v>
      </c>
      <c r="D24" s="122">
        <f>IF(D23&gt;0,"NA",-ROUND(D23,0))</f>
        <v>188</v>
      </c>
      <c r="E24" s="122">
        <f>IF(E23&gt;0,"NA",-ROUND(E23,0))</f>
        <v>155</v>
      </c>
      <c r="F24" s="122">
        <f>IF(F23&gt;0,"NA",-ROUND(F23,0))</f>
        <v>90</v>
      </c>
      <c r="G24" s="122">
        <f>IF(G23&gt;0,"NA",-ROUND(G23,0))</f>
        <v>42</v>
      </c>
      <c r="H24" s="6"/>
    </row>
    <row r="25" spans="2:8" x14ac:dyDescent="0.25">
      <c r="B25" s="6"/>
      <c r="C25" s="58"/>
      <c r="D25" s="115"/>
      <c r="E25" s="115"/>
      <c r="F25" s="115"/>
      <c r="G25" s="115"/>
      <c r="H25" s="6"/>
    </row>
    <row r="26" spans="2:8" ht="15.75" thickBot="1" x14ac:dyDescent="0.3">
      <c r="B26" s="66"/>
      <c r="C26" s="110" t="s">
        <v>219</v>
      </c>
      <c r="D26" s="100"/>
      <c r="E26" s="100"/>
      <c r="F26" s="100"/>
      <c r="G26" s="100"/>
      <c r="H26" s="100" t="s">
        <v>548</v>
      </c>
    </row>
    <row r="27" spans="2:8" x14ac:dyDescent="0.25">
      <c r="B27" s="66"/>
      <c r="C27" s="58" t="s">
        <v>220</v>
      </c>
      <c r="D27" s="123">
        <v>1200</v>
      </c>
      <c r="E27" s="112"/>
      <c r="F27" s="112"/>
      <c r="G27" s="112"/>
      <c r="H27" s="34" t="s">
        <v>221</v>
      </c>
    </row>
    <row r="28" spans="2:8" x14ac:dyDescent="0.25">
      <c r="B28" s="66"/>
      <c r="C28" s="58" t="s">
        <v>222</v>
      </c>
      <c r="D28" s="124">
        <v>9666</v>
      </c>
      <c r="E28" s="114"/>
      <c r="F28" s="114"/>
      <c r="G28" s="114"/>
      <c r="H28" s="6" t="s">
        <v>223</v>
      </c>
    </row>
    <row r="29" spans="2:8" ht="30" x14ac:dyDescent="0.25">
      <c r="B29" s="66"/>
      <c r="C29" s="58" t="s">
        <v>224</v>
      </c>
      <c r="D29" s="115">
        <v>-0.4</v>
      </c>
      <c r="E29" s="108"/>
      <c r="F29" s="108"/>
      <c r="G29" s="108"/>
      <c r="H29" s="6" t="s">
        <v>225</v>
      </c>
    </row>
    <row r="30" spans="2:8" ht="30" x14ac:dyDescent="0.25">
      <c r="B30" s="66"/>
      <c r="C30" s="58" t="s">
        <v>226</v>
      </c>
      <c r="D30" s="125">
        <v>1.01</v>
      </c>
      <c r="E30" s="108"/>
      <c r="F30" s="108"/>
      <c r="G30" s="108"/>
      <c r="H30" s="6" t="s">
        <v>227</v>
      </c>
    </row>
    <row r="31" spans="2:8" ht="30" x14ac:dyDescent="0.25">
      <c r="B31" s="66"/>
      <c r="C31" s="58" t="s">
        <v>228</v>
      </c>
      <c r="D31" s="126">
        <f>(D27/D28)*D29*D30</f>
        <v>-5.0155183116076973E-2</v>
      </c>
      <c r="E31" s="108"/>
      <c r="F31" s="108"/>
      <c r="G31" s="108"/>
      <c r="H31" s="34" t="s">
        <v>229</v>
      </c>
    </row>
    <row r="32" spans="2:8" ht="30" x14ac:dyDescent="0.25">
      <c r="B32" s="6"/>
      <c r="C32" s="58" t="s">
        <v>230</v>
      </c>
      <c r="D32" s="120">
        <f>D9*D31</f>
        <v>-524.1216635630044</v>
      </c>
      <c r="E32" s="121">
        <f>D32</f>
        <v>-524.1216635630044</v>
      </c>
      <c r="F32" s="121">
        <f>E32</f>
        <v>-524.1216635630044</v>
      </c>
      <c r="G32" s="121">
        <f>F32</f>
        <v>-524.1216635630044</v>
      </c>
      <c r="H32" s="34" t="s">
        <v>231</v>
      </c>
    </row>
    <row r="33" spans="2:8" ht="30" x14ac:dyDescent="0.25">
      <c r="B33" s="6"/>
      <c r="C33" s="58" t="s">
        <v>540</v>
      </c>
      <c r="D33" s="115">
        <f>D32*D$5*1000/1000000</f>
        <v>-178.72548727498452</v>
      </c>
      <c r="E33" s="115">
        <f>E32*E$5*1000/1000000</f>
        <v>-147.27818746120423</v>
      </c>
      <c r="F33" s="115">
        <f>F32*F$5*1000/1000000</f>
        <v>-85.431831160769718</v>
      </c>
      <c r="G33" s="115">
        <f>G32*G$5*1000/1000000</f>
        <v>-40.357368094351337</v>
      </c>
      <c r="H33" s="34" t="s">
        <v>218</v>
      </c>
    </row>
    <row r="34" spans="2:8" ht="30" x14ac:dyDescent="0.25">
      <c r="B34" s="6"/>
      <c r="C34" s="19" t="s">
        <v>536</v>
      </c>
      <c r="D34" s="122">
        <f>IF(D33&gt;0,"NA",-ROUND(D33,0))</f>
        <v>179</v>
      </c>
      <c r="E34" s="122">
        <f>IF(E33&gt;0,"NA",-ROUND(E33,0))</f>
        <v>147</v>
      </c>
      <c r="F34" s="122">
        <f>IF(F33&gt;0,"NA",-ROUND(F33,0))</f>
        <v>85</v>
      </c>
      <c r="G34" s="122">
        <f>IF(G33&gt;0,"NA",-ROUND(G33,0))</f>
        <v>40</v>
      </c>
      <c r="H34" s="127"/>
    </row>
    <row r="35" spans="2:8" x14ac:dyDescent="0.25">
      <c r="B35" s="6"/>
      <c r="C35" s="58"/>
      <c r="D35" s="115"/>
      <c r="E35" s="115"/>
      <c r="F35" s="115"/>
      <c r="G35" s="115"/>
      <c r="H35" s="6"/>
    </row>
    <row r="36" spans="2:8" x14ac:dyDescent="0.25">
      <c r="B36" s="6"/>
      <c r="C36" s="6"/>
      <c r="D36" s="6"/>
      <c r="E36" s="6"/>
      <c r="F36" s="6"/>
      <c r="G36" s="6"/>
      <c r="H36" s="6"/>
    </row>
    <row r="37" spans="2:8" ht="45.75" hidden="1" thickBot="1" x14ac:dyDescent="0.3">
      <c r="B37" s="6"/>
      <c r="C37" s="128" t="s">
        <v>233</v>
      </c>
      <c r="D37" s="101"/>
      <c r="E37" s="101"/>
      <c r="F37" s="101"/>
      <c r="G37" s="101"/>
      <c r="H37" s="101" t="s">
        <v>234</v>
      </c>
    </row>
    <row r="38" spans="2:8" ht="30" hidden="1" x14ac:dyDescent="0.25">
      <c r="B38" s="6"/>
      <c r="C38" s="102" t="s">
        <v>235</v>
      </c>
      <c r="D38" s="129" t="e">
        <f>#REF!</f>
        <v>#REF!</v>
      </c>
      <c r="E38" s="102"/>
      <c r="F38" s="102"/>
      <c r="G38" s="102"/>
      <c r="H38" s="102" t="s">
        <v>236</v>
      </c>
    </row>
    <row r="39" spans="2:8" ht="30" hidden="1" x14ac:dyDescent="0.25">
      <c r="B39" s="6"/>
      <c r="C39" s="102" t="s">
        <v>237</v>
      </c>
      <c r="D39" s="130" t="e">
        <f>D11*D38</f>
        <v>#REF!</v>
      </c>
      <c r="E39" s="102"/>
      <c r="F39" s="102"/>
      <c r="G39" s="102"/>
      <c r="H39" s="131" t="s">
        <v>238</v>
      </c>
    </row>
    <row r="40" spans="2:8" hidden="1" x14ac:dyDescent="0.25">
      <c r="B40" s="6"/>
      <c r="C40" s="102" t="s">
        <v>239</v>
      </c>
      <c r="D40" s="102">
        <v>4</v>
      </c>
      <c r="E40" s="102"/>
      <c r="F40" s="102"/>
      <c r="G40" s="102"/>
      <c r="H40" s="102" t="s">
        <v>240</v>
      </c>
    </row>
    <row r="41" spans="2:8" hidden="1" x14ac:dyDescent="0.25">
      <c r="B41" s="6"/>
      <c r="C41" s="102" t="s">
        <v>241</v>
      </c>
      <c r="D41" s="130" t="e">
        <f>D39*D40</f>
        <v>#REF!</v>
      </c>
      <c r="E41" s="132" t="e">
        <f>D41</f>
        <v>#REF!</v>
      </c>
      <c r="F41" s="132" t="e">
        <f>E41</f>
        <v>#REF!</v>
      </c>
      <c r="G41" s="132" t="e">
        <f>F41</f>
        <v>#REF!</v>
      </c>
      <c r="H41" s="102"/>
    </row>
    <row r="42" spans="2:8" ht="30" hidden="1" x14ac:dyDescent="0.25">
      <c r="B42" s="6"/>
      <c r="C42" s="89" t="s">
        <v>242</v>
      </c>
      <c r="D42" s="133" t="e">
        <f>D41*D$5/1000</f>
        <v>#REF!</v>
      </c>
      <c r="E42" s="133" t="e">
        <f>E41*E$5/1000</f>
        <v>#REF!</v>
      </c>
      <c r="F42" s="133" t="e">
        <f>F41*F$5/1000</f>
        <v>#REF!</v>
      </c>
      <c r="G42" s="133" t="e">
        <f>G41*G$5/1000</f>
        <v>#REF!</v>
      </c>
      <c r="H42" s="102"/>
    </row>
    <row r="43" spans="2:8" hidden="1" x14ac:dyDescent="0.25">
      <c r="B43" s="6"/>
      <c r="C43" s="90" t="s">
        <v>243</v>
      </c>
      <c r="D43" s="134" t="e">
        <f>IF(D42&gt;0,"NA",-ROUND(D42,0))</f>
        <v>#REF!</v>
      </c>
      <c r="E43" s="134" t="e">
        <f>IF(E42&gt;0,"NA",-ROUND(E42,0))</f>
        <v>#REF!</v>
      </c>
      <c r="F43" s="134" t="e">
        <f>IF(F42&gt;0,"NA",-ROUND(F42,0))</f>
        <v>#REF!</v>
      </c>
      <c r="G43" s="134" t="e">
        <f>IF(G42&gt;0,"NA",-ROUND(G42,0))</f>
        <v>#REF!</v>
      </c>
      <c r="H43" s="102"/>
    </row>
    <row r="44" spans="2:8" hidden="1" x14ac:dyDescent="0.25"/>
    <row r="45" spans="2:8" ht="30.75" thickBot="1" x14ac:dyDescent="0.3">
      <c r="B45" s="6"/>
      <c r="C45" s="110" t="s">
        <v>584</v>
      </c>
      <c r="D45" s="100"/>
      <c r="E45" s="100"/>
      <c r="F45" s="100"/>
      <c r="G45" s="100"/>
      <c r="H45" s="100" t="s">
        <v>537</v>
      </c>
    </row>
    <row r="46" spans="2:8" x14ac:dyDescent="0.25">
      <c r="B46" s="6"/>
      <c r="C46" s="135" t="s">
        <v>585</v>
      </c>
      <c r="D46" s="104"/>
      <c r="E46" s="121"/>
      <c r="F46" s="121"/>
      <c r="G46" s="121"/>
      <c r="H46" s="34"/>
    </row>
    <row r="47" spans="2:8" ht="45" x14ac:dyDescent="0.25">
      <c r="B47" s="6"/>
      <c r="C47" s="88" t="s">
        <v>586</v>
      </c>
      <c r="D47" s="104">
        <v>-4500</v>
      </c>
      <c r="E47" s="121"/>
      <c r="F47" s="121"/>
      <c r="G47" s="121"/>
      <c r="H47" s="34" t="s">
        <v>593</v>
      </c>
    </row>
    <row r="48" spans="2:8" ht="30" x14ac:dyDescent="0.25">
      <c r="B48" s="6"/>
      <c r="C48" s="88" t="s">
        <v>588</v>
      </c>
      <c r="D48" s="104">
        <v>-4700</v>
      </c>
      <c r="E48" s="121"/>
      <c r="F48" s="121"/>
      <c r="G48" s="121"/>
      <c r="H48" s="34" t="s">
        <v>592</v>
      </c>
    </row>
    <row r="49" spans="2:8" x14ac:dyDescent="0.25">
      <c r="B49" s="6"/>
      <c r="C49" s="88" t="s">
        <v>587</v>
      </c>
      <c r="D49" s="104">
        <v>-5400</v>
      </c>
      <c r="E49" s="121"/>
      <c r="F49" s="121"/>
      <c r="G49" s="121"/>
      <c r="H49" s="34"/>
    </row>
    <row r="50" spans="2:8" x14ac:dyDescent="0.25">
      <c r="B50" s="6"/>
      <c r="C50" s="58" t="s">
        <v>539</v>
      </c>
      <c r="D50" s="115"/>
      <c r="E50" s="115"/>
      <c r="F50" s="115"/>
      <c r="G50" s="115"/>
      <c r="H50" s="34" t="s">
        <v>218</v>
      </c>
    </row>
    <row r="51" spans="2:8" x14ac:dyDescent="0.25">
      <c r="B51" s="6"/>
      <c r="C51" s="88" t="s">
        <v>586</v>
      </c>
      <c r="D51" s="104">
        <f t="shared" ref="D51:G53" si="0">$D47*D$5*1000/1000000</f>
        <v>-1534.5</v>
      </c>
      <c r="E51" s="104">
        <f t="shared" si="0"/>
        <v>-1264.5</v>
      </c>
      <c r="F51" s="104">
        <f t="shared" si="0"/>
        <v>-733.5</v>
      </c>
      <c r="G51" s="104">
        <f t="shared" si="0"/>
        <v>-346.5</v>
      </c>
      <c r="H51" s="34"/>
    </row>
    <row r="52" spans="2:8" x14ac:dyDescent="0.25">
      <c r="B52" s="6"/>
      <c r="C52" s="88" t="s">
        <v>588</v>
      </c>
      <c r="D52" s="104">
        <f t="shared" si="0"/>
        <v>-1602.7</v>
      </c>
      <c r="E52" s="104">
        <f t="shared" si="0"/>
        <v>-1320.7</v>
      </c>
      <c r="F52" s="104">
        <f t="shared" si="0"/>
        <v>-766.1</v>
      </c>
      <c r="G52" s="104">
        <f t="shared" si="0"/>
        <v>-361.9</v>
      </c>
      <c r="H52" s="34"/>
    </row>
    <row r="53" spans="2:8" x14ac:dyDescent="0.25">
      <c r="B53" s="6"/>
      <c r="C53" s="88" t="s">
        <v>587</v>
      </c>
      <c r="D53" s="104">
        <f t="shared" si="0"/>
        <v>-1841.4</v>
      </c>
      <c r="E53" s="104">
        <f t="shared" si="0"/>
        <v>-1517.4</v>
      </c>
      <c r="F53" s="104">
        <f t="shared" si="0"/>
        <v>-880.2</v>
      </c>
      <c r="G53" s="104">
        <f t="shared" si="0"/>
        <v>-415.8</v>
      </c>
      <c r="H53" s="34"/>
    </row>
    <row r="54" spans="2:8" x14ac:dyDescent="0.25">
      <c r="B54" s="6"/>
      <c r="C54" s="166" t="s">
        <v>538</v>
      </c>
      <c r="D54" s="167"/>
      <c r="E54" s="167"/>
      <c r="F54" s="167"/>
      <c r="G54" s="167"/>
      <c r="H54" s="127"/>
    </row>
    <row r="55" spans="2:8" x14ac:dyDescent="0.25">
      <c r="C55" s="168" t="s">
        <v>586</v>
      </c>
      <c r="D55" s="169">
        <f t="shared" ref="D55:G57" si="1">IF(D51&gt;0,"NA",-ROUND(D51,0))</f>
        <v>1535</v>
      </c>
      <c r="E55" s="169">
        <f t="shared" si="1"/>
        <v>1265</v>
      </c>
      <c r="F55" s="169">
        <f t="shared" si="1"/>
        <v>734</v>
      </c>
      <c r="G55" s="169">
        <f t="shared" si="1"/>
        <v>347</v>
      </c>
    </row>
    <row r="56" spans="2:8" x14ac:dyDescent="0.25">
      <c r="C56" s="168" t="s">
        <v>588</v>
      </c>
      <c r="D56" s="169">
        <f t="shared" si="1"/>
        <v>1603</v>
      </c>
      <c r="E56" s="169">
        <f t="shared" si="1"/>
        <v>1321</v>
      </c>
      <c r="F56" s="169">
        <f t="shared" si="1"/>
        <v>766</v>
      </c>
      <c r="G56" s="169">
        <f t="shared" si="1"/>
        <v>362</v>
      </c>
    </row>
    <row r="57" spans="2:8" x14ac:dyDescent="0.25">
      <c r="C57" s="168" t="s">
        <v>587</v>
      </c>
      <c r="D57" s="169">
        <f t="shared" si="1"/>
        <v>1841</v>
      </c>
      <c r="E57" s="169">
        <f t="shared" si="1"/>
        <v>1517</v>
      </c>
      <c r="F57" s="169">
        <f t="shared" si="1"/>
        <v>880</v>
      </c>
      <c r="G57" s="169">
        <f t="shared" si="1"/>
        <v>416</v>
      </c>
    </row>
    <row r="59" spans="2:8" ht="30.75" thickBot="1" x14ac:dyDescent="0.3">
      <c r="C59" s="110" t="s">
        <v>590</v>
      </c>
      <c r="D59" s="100"/>
      <c r="E59" s="100"/>
      <c r="F59" s="100"/>
      <c r="G59" s="100"/>
      <c r="H59" s="100" t="s">
        <v>537</v>
      </c>
    </row>
    <row r="60" spans="2:8" x14ac:dyDescent="0.25">
      <c r="C60" s="58" t="s">
        <v>232</v>
      </c>
      <c r="D60" s="104"/>
      <c r="E60" s="121"/>
      <c r="F60" s="121"/>
      <c r="G60" s="121"/>
      <c r="H60" s="34"/>
    </row>
    <row r="61" spans="2:8" ht="30" x14ac:dyDescent="0.25">
      <c r="C61" s="88" t="s">
        <v>586</v>
      </c>
      <c r="D61" s="104">
        <f>D47/2</f>
        <v>-2250</v>
      </c>
      <c r="E61" s="121"/>
      <c r="F61" s="121"/>
      <c r="G61" s="121"/>
      <c r="H61" s="34" t="s">
        <v>589</v>
      </c>
    </row>
    <row r="62" spans="2:8" ht="30" x14ac:dyDescent="0.25">
      <c r="C62" s="88" t="s">
        <v>588</v>
      </c>
      <c r="D62" s="104">
        <f>D48/2</f>
        <v>-2350</v>
      </c>
      <c r="E62" s="121"/>
      <c r="F62" s="121"/>
      <c r="G62" s="121"/>
      <c r="H62" s="34" t="s">
        <v>591</v>
      </c>
    </row>
    <row r="63" spans="2:8" x14ac:dyDescent="0.25">
      <c r="C63" s="88" t="s">
        <v>587</v>
      </c>
      <c r="D63" s="104">
        <f>D49/2</f>
        <v>-2700</v>
      </c>
      <c r="E63" s="121"/>
      <c r="F63" s="121"/>
      <c r="G63" s="121"/>
      <c r="H63" s="34"/>
    </row>
    <row r="64" spans="2:8" x14ac:dyDescent="0.25">
      <c r="C64" s="58" t="s">
        <v>539</v>
      </c>
      <c r="D64" s="115"/>
      <c r="E64" s="115"/>
      <c r="F64" s="115"/>
      <c r="G64" s="115"/>
      <c r="H64" s="34" t="s">
        <v>218</v>
      </c>
    </row>
    <row r="65" spans="3:8" x14ac:dyDescent="0.25">
      <c r="C65" s="88" t="s">
        <v>586</v>
      </c>
      <c r="D65" s="104">
        <f t="shared" ref="D65:G67" si="2">$D61*D$5*1000/1000000</f>
        <v>-767.25</v>
      </c>
      <c r="E65" s="104">
        <f t="shared" si="2"/>
        <v>-632.25</v>
      </c>
      <c r="F65" s="104">
        <f t="shared" si="2"/>
        <v>-366.75</v>
      </c>
      <c r="G65" s="104">
        <f t="shared" si="2"/>
        <v>-173.25</v>
      </c>
      <c r="H65" s="34"/>
    </row>
    <row r="66" spans="3:8" x14ac:dyDescent="0.25">
      <c r="C66" s="88" t="s">
        <v>588</v>
      </c>
      <c r="D66" s="104">
        <f t="shared" si="2"/>
        <v>-801.35</v>
      </c>
      <c r="E66" s="104">
        <f t="shared" si="2"/>
        <v>-660.35</v>
      </c>
      <c r="F66" s="104">
        <f t="shared" si="2"/>
        <v>-383.05</v>
      </c>
      <c r="G66" s="104">
        <f t="shared" si="2"/>
        <v>-180.95</v>
      </c>
      <c r="H66" s="34"/>
    </row>
    <row r="67" spans="3:8" x14ac:dyDescent="0.25">
      <c r="C67" s="88" t="s">
        <v>587</v>
      </c>
      <c r="D67" s="104">
        <f t="shared" si="2"/>
        <v>-920.7</v>
      </c>
      <c r="E67" s="104">
        <f t="shared" si="2"/>
        <v>-758.7</v>
      </c>
      <c r="F67" s="104">
        <f t="shared" si="2"/>
        <v>-440.1</v>
      </c>
      <c r="G67" s="104">
        <f t="shared" si="2"/>
        <v>-207.9</v>
      </c>
      <c r="H67" s="34"/>
    </row>
    <row r="68" spans="3:8" x14ac:dyDescent="0.25">
      <c r="C68" s="166" t="s">
        <v>538</v>
      </c>
      <c r="D68" s="167"/>
      <c r="E68" s="167"/>
      <c r="F68" s="167"/>
      <c r="G68" s="167"/>
      <c r="H68" s="127"/>
    </row>
    <row r="69" spans="3:8" x14ac:dyDescent="0.25">
      <c r="C69" s="168" t="s">
        <v>586</v>
      </c>
      <c r="D69" s="169">
        <f t="shared" ref="D69:G71" si="3">IF(D65&gt;0,"NA",-ROUND(D65,0))</f>
        <v>767</v>
      </c>
      <c r="E69" s="169">
        <f t="shared" si="3"/>
        <v>632</v>
      </c>
      <c r="F69" s="169">
        <f t="shared" si="3"/>
        <v>367</v>
      </c>
      <c r="G69" s="169">
        <f t="shared" si="3"/>
        <v>173</v>
      </c>
    </row>
    <row r="70" spans="3:8" x14ac:dyDescent="0.25">
      <c r="C70" s="168" t="s">
        <v>588</v>
      </c>
      <c r="D70" s="169">
        <f t="shared" si="3"/>
        <v>801</v>
      </c>
      <c r="E70" s="169">
        <f t="shared" si="3"/>
        <v>660</v>
      </c>
      <c r="F70" s="169">
        <f t="shared" si="3"/>
        <v>383</v>
      </c>
      <c r="G70" s="169">
        <f t="shared" si="3"/>
        <v>181</v>
      </c>
    </row>
    <row r="71" spans="3:8" x14ac:dyDescent="0.25">
      <c r="C71" s="168" t="s">
        <v>587</v>
      </c>
      <c r="D71" s="169">
        <f t="shared" si="3"/>
        <v>921</v>
      </c>
      <c r="E71" s="169">
        <f t="shared" si="3"/>
        <v>759</v>
      </c>
      <c r="F71" s="169">
        <f t="shared" si="3"/>
        <v>440</v>
      </c>
      <c r="G71" s="169">
        <f t="shared" si="3"/>
        <v>208</v>
      </c>
    </row>
    <row r="73" spans="3:8" ht="30.75" thickBot="1" x14ac:dyDescent="0.3">
      <c r="C73" s="110" t="s">
        <v>606</v>
      </c>
      <c r="D73" s="100"/>
      <c r="E73" s="100"/>
      <c r="F73" s="100"/>
      <c r="G73" s="100"/>
      <c r="H73" s="100" t="s">
        <v>607</v>
      </c>
    </row>
    <row r="74" spans="3:8" ht="30" x14ac:dyDescent="0.25">
      <c r="C74" s="58" t="s">
        <v>612</v>
      </c>
      <c r="D74" s="171">
        <v>300</v>
      </c>
      <c r="E74" s="121"/>
      <c r="F74" s="121"/>
      <c r="G74" s="121"/>
      <c r="H74" s="34" t="s">
        <v>620</v>
      </c>
    </row>
    <row r="75" spans="3:8" x14ac:dyDescent="0.25">
      <c r="C75" s="58" t="s">
        <v>611</v>
      </c>
      <c r="D75" s="171">
        <f>10000/D74</f>
        <v>33.333333333333336</v>
      </c>
      <c r="E75" s="121"/>
      <c r="F75" s="121"/>
      <c r="G75" s="121"/>
      <c r="H75" s="34" t="s">
        <v>621</v>
      </c>
    </row>
    <row r="76" spans="3:8" ht="30" x14ac:dyDescent="0.25">
      <c r="C76" s="58" t="s">
        <v>618</v>
      </c>
      <c r="D76" s="170">
        <v>-1.4E-2</v>
      </c>
      <c r="E76" s="121"/>
      <c r="F76" s="121"/>
      <c r="G76" s="121"/>
      <c r="H76" s="34" t="s">
        <v>637</v>
      </c>
    </row>
    <row r="77" spans="3:8" ht="30" x14ac:dyDescent="0.25">
      <c r="C77" s="88" t="s">
        <v>622</v>
      </c>
      <c r="D77" s="120">
        <f>$D$75*$D$11*D76</f>
        <v>-2986.666666666667</v>
      </c>
      <c r="E77" s="121"/>
      <c r="F77" s="121"/>
      <c r="G77" s="121"/>
      <c r="H77" s="34" t="s">
        <v>624</v>
      </c>
    </row>
    <row r="78" spans="3:8" ht="45" x14ac:dyDescent="0.25">
      <c r="C78" s="58" t="s">
        <v>609</v>
      </c>
      <c r="D78" s="170"/>
      <c r="E78" s="121"/>
      <c r="F78" s="121"/>
      <c r="G78" s="121"/>
      <c r="H78" s="34"/>
    </row>
    <row r="79" spans="3:8" ht="30" x14ac:dyDescent="0.25">
      <c r="C79" s="88" t="s">
        <v>608</v>
      </c>
      <c r="D79" s="119">
        <v>2.8</v>
      </c>
      <c r="E79" s="121"/>
      <c r="F79" s="121"/>
      <c r="G79" s="121"/>
      <c r="H79" s="34" t="s">
        <v>629</v>
      </c>
    </row>
    <row r="80" spans="3:8" x14ac:dyDescent="0.25">
      <c r="C80" s="88" t="s">
        <v>610</v>
      </c>
      <c r="D80" s="119">
        <v>2</v>
      </c>
      <c r="E80" s="121"/>
      <c r="F80" s="121"/>
      <c r="G80" s="121"/>
      <c r="H80" s="34" t="s">
        <v>630</v>
      </c>
    </row>
    <row r="81" spans="3:8" ht="45" x14ac:dyDescent="0.25">
      <c r="C81" s="58" t="s">
        <v>617</v>
      </c>
      <c r="D81" s="170"/>
      <c r="E81" s="121"/>
      <c r="F81" s="121"/>
      <c r="G81" s="121"/>
      <c r="H81" s="34" t="s">
        <v>631</v>
      </c>
    </row>
    <row r="82" spans="3:8" x14ac:dyDescent="0.25">
      <c r="C82" s="88" t="s">
        <v>615</v>
      </c>
      <c r="D82" s="170">
        <f>(D$79-2.5)*10*D$76</f>
        <v>-4.1999999999999975E-2</v>
      </c>
      <c r="E82" s="121"/>
      <c r="F82" s="121"/>
      <c r="G82" s="121"/>
    </row>
    <row r="83" spans="3:8" x14ac:dyDescent="0.25">
      <c r="C83" s="88" t="s">
        <v>616</v>
      </c>
      <c r="D83" s="170">
        <f>(D$79-2)*10*D$76</f>
        <v>-0.11199999999999997</v>
      </c>
      <c r="E83" s="121"/>
      <c r="F83" s="121"/>
      <c r="G83" s="121"/>
      <c r="H83" s="34"/>
    </row>
    <row r="84" spans="3:8" x14ac:dyDescent="0.25">
      <c r="C84" s="88" t="s">
        <v>614</v>
      </c>
      <c r="D84" s="170">
        <f>(D$80-1.5)*10*D$76</f>
        <v>-7.0000000000000007E-2</v>
      </c>
      <c r="E84" s="121"/>
      <c r="F84" s="121"/>
      <c r="G84" s="121"/>
      <c r="H84" s="34"/>
    </row>
    <row r="85" spans="3:8" x14ac:dyDescent="0.25">
      <c r="C85" s="88" t="s">
        <v>613</v>
      </c>
      <c r="D85" s="170">
        <f>(D$80-1)*10*D$76</f>
        <v>-0.14000000000000001</v>
      </c>
      <c r="E85" s="121"/>
      <c r="F85" s="121"/>
      <c r="G85" s="121"/>
      <c r="H85" s="34"/>
    </row>
    <row r="86" spans="3:8" ht="30" x14ac:dyDescent="0.25">
      <c r="C86" s="58" t="s">
        <v>623</v>
      </c>
      <c r="D86" s="170"/>
      <c r="E86" s="121"/>
      <c r="F86" s="121"/>
      <c r="G86" s="121"/>
      <c r="H86" s="34" t="s">
        <v>624</v>
      </c>
    </row>
    <row r="87" spans="3:8" x14ac:dyDescent="0.25">
      <c r="C87" s="88" t="s">
        <v>615</v>
      </c>
      <c r="D87" s="120">
        <f>$D$75*$D$11*D82</f>
        <v>-8959.9999999999945</v>
      </c>
      <c r="E87" s="121"/>
      <c r="F87" s="121"/>
      <c r="G87" s="121"/>
      <c r="H87" s="34"/>
    </row>
    <row r="88" spans="3:8" x14ac:dyDescent="0.25">
      <c r="C88" s="88" t="s">
        <v>616</v>
      </c>
      <c r="D88" s="120">
        <f>$D$75*$D$11*D83</f>
        <v>-23893.333333333328</v>
      </c>
      <c r="E88" s="121"/>
      <c r="F88" s="121"/>
      <c r="G88" s="121"/>
      <c r="H88" s="34"/>
    </row>
    <row r="89" spans="3:8" x14ac:dyDescent="0.25">
      <c r="C89" s="88" t="s">
        <v>614</v>
      </c>
      <c r="D89" s="120">
        <f>$D$75*$D$11*D84</f>
        <v>-14933.333333333336</v>
      </c>
      <c r="E89" s="121"/>
      <c r="F89" s="121"/>
      <c r="G89" s="121"/>
      <c r="H89" s="34"/>
    </row>
    <row r="90" spans="3:8" x14ac:dyDescent="0.25">
      <c r="C90" s="88" t="s">
        <v>613</v>
      </c>
      <c r="D90" s="120">
        <f>$D$75*$D$11*D85</f>
        <v>-29866.666666666672</v>
      </c>
      <c r="E90" s="121"/>
      <c r="F90" s="121"/>
      <c r="G90" s="121"/>
      <c r="H90" s="34"/>
    </row>
    <row r="91" spans="3:8" x14ac:dyDescent="0.25">
      <c r="C91" s="58" t="s">
        <v>511</v>
      </c>
      <c r="D91" s="104"/>
      <c r="E91" s="104"/>
      <c r="F91" s="104"/>
      <c r="G91" s="104"/>
      <c r="H91" s="34" t="s">
        <v>632</v>
      </c>
    </row>
    <row r="92" spans="3:8" x14ac:dyDescent="0.25">
      <c r="C92" s="88" t="s">
        <v>615</v>
      </c>
      <c r="D92" s="172">
        <f t="shared" ref="D92:G95" si="4">$D87*D$5/1000000</f>
        <v>-3.0553599999999981</v>
      </c>
      <c r="E92" s="172">
        <f t="shared" si="4"/>
        <v>-2.5177599999999987</v>
      </c>
      <c r="F92" s="172">
        <f t="shared" si="4"/>
        <v>-1.4604799999999991</v>
      </c>
      <c r="G92" s="172">
        <f t="shared" si="4"/>
        <v>-0.68991999999999953</v>
      </c>
    </row>
    <row r="93" spans="3:8" x14ac:dyDescent="0.25">
      <c r="C93" s="88" t="s">
        <v>616</v>
      </c>
      <c r="D93" s="172">
        <f t="shared" si="4"/>
        <v>-8.1476266666666657</v>
      </c>
      <c r="E93" s="172">
        <f t="shared" si="4"/>
        <v>-6.7140266666666655</v>
      </c>
      <c r="F93" s="172">
        <f t="shared" si="4"/>
        <v>-3.8946133333333326</v>
      </c>
      <c r="G93" s="172">
        <f t="shared" si="4"/>
        <v>-1.8397866666666662</v>
      </c>
      <c r="H93" s="34"/>
    </row>
    <row r="94" spans="3:8" x14ac:dyDescent="0.25">
      <c r="C94" s="88" t="s">
        <v>614</v>
      </c>
      <c r="D94" s="172">
        <f t="shared" si="4"/>
        <v>-5.0922666666666681</v>
      </c>
      <c r="E94" s="172">
        <f t="shared" si="4"/>
        <v>-4.1962666666666673</v>
      </c>
      <c r="F94" s="172">
        <f t="shared" si="4"/>
        <v>-2.4341333333333339</v>
      </c>
      <c r="G94" s="172">
        <f t="shared" si="4"/>
        <v>-1.1498666666666668</v>
      </c>
      <c r="H94" s="34"/>
    </row>
    <row r="95" spans="3:8" x14ac:dyDescent="0.25">
      <c r="C95" s="88" t="s">
        <v>613</v>
      </c>
      <c r="D95" s="172">
        <f t="shared" si="4"/>
        <v>-10.184533333333336</v>
      </c>
      <c r="E95" s="172">
        <f t="shared" si="4"/>
        <v>-8.3925333333333345</v>
      </c>
      <c r="F95" s="172">
        <f t="shared" si="4"/>
        <v>-4.8682666666666679</v>
      </c>
      <c r="G95" s="172">
        <f t="shared" si="4"/>
        <v>-2.2997333333333336</v>
      </c>
      <c r="H95" s="34"/>
    </row>
    <row r="96" spans="3:8" ht="30" x14ac:dyDescent="0.25">
      <c r="C96" s="166" t="s">
        <v>619</v>
      </c>
      <c r="D96" s="184">
        <v>2025</v>
      </c>
      <c r="E96" s="184">
        <v>2030</v>
      </c>
      <c r="F96" s="184">
        <v>2040</v>
      </c>
      <c r="G96" s="184">
        <v>2050</v>
      </c>
      <c r="H96" s="127"/>
    </row>
    <row r="97" spans="3:8" ht="30" x14ac:dyDescent="0.25">
      <c r="C97" s="182" t="s">
        <v>661</v>
      </c>
      <c r="D97" s="169">
        <f t="shared" ref="D97:G100" si="5">IF(D92&gt;0,"NA",-ROUND(D92,0))</f>
        <v>3</v>
      </c>
      <c r="E97" s="169">
        <f t="shared" si="5"/>
        <v>3</v>
      </c>
      <c r="F97" s="169">
        <f t="shared" si="5"/>
        <v>1</v>
      </c>
      <c r="G97" s="169">
        <f t="shared" si="5"/>
        <v>1</v>
      </c>
    </row>
    <row r="98" spans="3:8" ht="30" x14ac:dyDescent="0.25">
      <c r="C98" s="182" t="s">
        <v>662</v>
      </c>
      <c r="D98" s="169">
        <f t="shared" si="5"/>
        <v>8</v>
      </c>
      <c r="E98" s="169">
        <f t="shared" si="5"/>
        <v>7</v>
      </c>
      <c r="F98" s="169">
        <f t="shared" si="5"/>
        <v>4</v>
      </c>
      <c r="G98" s="169">
        <f t="shared" si="5"/>
        <v>2</v>
      </c>
    </row>
    <row r="99" spans="3:8" ht="30" x14ac:dyDescent="0.25">
      <c r="C99" s="182" t="s">
        <v>663</v>
      </c>
      <c r="D99" s="169">
        <f t="shared" si="5"/>
        <v>5</v>
      </c>
      <c r="E99" s="169">
        <f t="shared" si="5"/>
        <v>4</v>
      </c>
      <c r="F99" s="169">
        <f t="shared" si="5"/>
        <v>2</v>
      </c>
      <c r="G99" s="169">
        <f t="shared" si="5"/>
        <v>1</v>
      </c>
    </row>
    <row r="100" spans="3:8" ht="30" x14ac:dyDescent="0.25">
      <c r="C100" s="182" t="s">
        <v>664</v>
      </c>
      <c r="D100" s="169">
        <f t="shared" si="5"/>
        <v>10</v>
      </c>
      <c r="E100" s="169">
        <f t="shared" si="5"/>
        <v>8</v>
      </c>
      <c r="F100" s="169">
        <f t="shared" si="5"/>
        <v>5</v>
      </c>
      <c r="G100" s="169">
        <f t="shared" si="5"/>
        <v>2</v>
      </c>
    </row>
    <row r="107" spans="3:8" x14ac:dyDescent="0.25">
      <c r="C107" s="17" t="s">
        <v>638</v>
      </c>
    </row>
    <row r="108" spans="3:8" x14ac:dyDescent="0.25">
      <c r="C108"/>
      <c r="H108"/>
    </row>
    <row r="109" spans="3:8" x14ac:dyDescent="0.25">
      <c r="C109" t="s">
        <v>639</v>
      </c>
      <c r="H109"/>
    </row>
    <row r="110" spans="3:8" x14ac:dyDescent="0.25">
      <c r="C110"/>
      <c r="H110"/>
    </row>
    <row r="111" spans="3:8" x14ac:dyDescent="0.25">
      <c r="C111" t="s">
        <v>640</v>
      </c>
      <c r="D111" t="s">
        <v>641</v>
      </c>
      <c r="E111" t="s">
        <v>642</v>
      </c>
      <c r="H111"/>
    </row>
    <row r="112" spans="3:8" x14ac:dyDescent="0.25">
      <c r="C112" t="s">
        <v>643</v>
      </c>
      <c r="D112" s="83">
        <v>3.5</v>
      </c>
      <c r="E112" s="175">
        <v>0.14599999999999999</v>
      </c>
      <c r="H112"/>
    </row>
    <row r="113" spans="3:8" x14ac:dyDescent="0.25">
      <c r="C113" t="s">
        <v>644</v>
      </c>
      <c r="D113" s="83">
        <v>2.1</v>
      </c>
      <c r="E113" s="175">
        <v>0.32</v>
      </c>
      <c r="H113"/>
    </row>
    <row r="114" spans="3:8" x14ac:dyDescent="0.25">
      <c r="C114" t="s">
        <v>645</v>
      </c>
      <c r="D114" s="83">
        <v>1.3</v>
      </c>
      <c r="E114" s="175">
        <v>0.38800000000000001</v>
      </c>
      <c r="H114"/>
    </row>
    <row r="115" spans="3:8" x14ac:dyDescent="0.25">
      <c r="C115" t="s">
        <v>646</v>
      </c>
      <c r="D115" s="83">
        <v>1</v>
      </c>
      <c r="E115" s="175">
        <v>0.48699999999999999</v>
      </c>
      <c r="H115"/>
    </row>
    <row r="116" spans="3:8" x14ac:dyDescent="0.25">
      <c r="C116" t="s">
        <v>647</v>
      </c>
      <c r="D116" s="83">
        <v>1.4</v>
      </c>
      <c r="E116" s="175">
        <v>0.46</v>
      </c>
      <c r="H116"/>
    </row>
    <row r="117" spans="3:8" x14ac:dyDescent="0.25">
      <c r="C117" t="s">
        <v>648</v>
      </c>
      <c r="D117" s="83">
        <v>1.5</v>
      </c>
      <c r="E117" s="175">
        <v>0.64100000000000001</v>
      </c>
      <c r="H117"/>
    </row>
    <row r="118" spans="3:8" x14ac:dyDescent="0.25">
      <c r="C118" t="s">
        <v>649</v>
      </c>
      <c r="D118" s="83">
        <v>1.1000000000000001</v>
      </c>
      <c r="E118" s="175">
        <v>0.48799999999999999</v>
      </c>
      <c r="H118"/>
    </row>
    <row r="119" spans="3:8" x14ac:dyDescent="0.25">
      <c r="C119"/>
      <c r="H119"/>
    </row>
    <row r="120" spans="3:8" x14ac:dyDescent="0.25">
      <c r="C120"/>
      <c r="E120" t="s">
        <v>650</v>
      </c>
      <c r="H120"/>
    </row>
    <row r="121" spans="3:8" x14ac:dyDescent="0.25">
      <c r="C121"/>
      <c r="E121" s="176">
        <f>(0.52-0.16)/25</f>
        <v>1.44E-2</v>
      </c>
      <c r="H121"/>
    </row>
    <row r="122" spans="3:8" x14ac:dyDescent="0.25">
      <c r="C122"/>
      <c r="H122"/>
    </row>
    <row r="123" spans="3:8" x14ac:dyDescent="0.25">
      <c r="C123"/>
      <c r="H123"/>
    </row>
    <row r="124" spans="3:8" x14ac:dyDescent="0.25">
      <c r="C124"/>
      <c r="H124"/>
    </row>
    <row r="125" spans="3:8" x14ac:dyDescent="0.25">
      <c r="C125"/>
      <c r="H125"/>
    </row>
    <row r="126" spans="3:8" x14ac:dyDescent="0.25">
      <c r="C126"/>
      <c r="H126"/>
    </row>
    <row r="127" spans="3:8" x14ac:dyDescent="0.25">
      <c r="C127"/>
      <c r="H127"/>
    </row>
    <row r="128" spans="3:8" x14ac:dyDescent="0.25">
      <c r="C128"/>
      <c r="H128"/>
    </row>
    <row r="129" spans="3:8" x14ac:dyDescent="0.25">
      <c r="C129"/>
      <c r="H129"/>
    </row>
    <row r="130" spans="3:8" x14ac:dyDescent="0.25">
      <c r="C130"/>
      <c r="H130"/>
    </row>
    <row r="131" spans="3:8" x14ac:dyDescent="0.25">
      <c r="C131"/>
      <c r="H131"/>
    </row>
    <row r="132" spans="3:8" x14ac:dyDescent="0.25">
      <c r="C132"/>
      <c r="H132"/>
    </row>
    <row r="133" spans="3:8" x14ac:dyDescent="0.25">
      <c r="C133"/>
      <c r="H133"/>
    </row>
    <row r="134" spans="3:8" x14ac:dyDescent="0.25">
      <c r="C134"/>
      <c r="H134"/>
    </row>
    <row r="135" spans="3:8" x14ac:dyDescent="0.25">
      <c r="C135"/>
      <c r="H135"/>
    </row>
    <row r="136" spans="3:8" x14ac:dyDescent="0.25">
      <c r="C136"/>
      <c r="H136"/>
    </row>
    <row r="137" spans="3:8" x14ac:dyDescent="0.25">
      <c r="C137"/>
      <c r="H137"/>
    </row>
    <row r="138" spans="3:8" x14ac:dyDescent="0.25">
      <c r="C138"/>
      <c r="H138"/>
    </row>
    <row r="139" spans="3:8" x14ac:dyDescent="0.25">
      <c r="C139"/>
      <c r="H139"/>
    </row>
    <row r="140" spans="3:8" x14ac:dyDescent="0.25">
      <c r="C140"/>
      <c r="H140"/>
    </row>
    <row r="141" spans="3:8" x14ac:dyDescent="0.25">
      <c r="C141"/>
      <c r="H141"/>
    </row>
    <row r="142" spans="3:8" x14ac:dyDescent="0.25">
      <c r="C142"/>
      <c r="H142"/>
    </row>
    <row r="143" spans="3:8" x14ac:dyDescent="0.25">
      <c r="C143"/>
      <c r="H143"/>
    </row>
    <row r="144" spans="3:8" x14ac:dyDescent="0.25">
      <c r="C144"/>
      <c r="H144"/>
    </row>
    <row r="145" spans="3:8" x14ac:dyDescent="0.25">
      <c r="C145"/>
      <c r="E145" t="s">
        <v>650</v>
      </c>
      <c r="H145"/>
    </row>
    <row r="146" spans="3:8" x14ac:dyDescent="0.25">
      <c r="C146"/>
      <c r="E146" s="176">
        <f>0.05/14</f>
        <v>3.5714285714285718E-3</v>
      </c>
      <c r="H146"/>
    </row>
    <row r="147" spans="3:8" x14ac:dyDescent="0.25">
      <c r="C147"/>
      <c r="H147"/>
    </row>
    <row r="148" spans="3:8" x14ac:dyDescent="0.25">
      <c r="C148"/>
      <c r="H148"/>
    </row>
    <row r="149" spans="3:8" x14ac:dyDescent="0.25">
      <c r="C149"/>
      <c r="H149"/>
    </row>
    <row r="150" spans="3:8" x14ac:dyDescent="0.25">
      <c r="C150"/>
      <c r="H150"/>
    </row>
    <row r="151" spans="3:8" x14ac:dyDescent="0.25">
      <c r="C151"/>
      <c r="H151"/>
    </row>
    <row r="152" spans="3:8" x14ac:dyDescent="0.25">
      <c r="C152"/>
      <c r="H152"/>
    </row>
    <row r="153" spans="3:8" x14ac:dyDescent="0.25">
      <c r="C153"/>
      <c r="H153"/>
    </row>
    <row r="154" spans="3:8" x14ac:dyDescent="0.25">
      <c r="C154"/>
      <c r="H154"/>
    </row>
    <row r="155" spans="3:8" x14ac:dyDescent="0.25">
      <c r="C155"/>
      <c r="H155"/>
    </row>
    <row r="156" spans="3:8" x14ac:dyDescent="0.25">
      <c r="C156"/>
      <c r="E156" t="s">
        <v>650</v>
      </c>
      <c r="H156"/>
    </row>
    <row r="157" spans="3:8" x14ac:dyDescent="0.25">
      <c r="C157"/>
      <c r="E157" s="176">
        <f>0.2/14</f>
        <v>1.4285714285714287E-2</v>
      </c>
      <c r="H157"/>
    </row>
    <row r="158" spans="3:8" x14ac:dyDescent="0.25">
      <c r="C158"/>
      <c r="H158"/>
    </row>
    <row r="159" spans="3:8" x14ac:dyDescent="0.25">
      <c r="C159"/>
      <c r="H159"/>
    </row>
    <row r="160" spans="3:8" x14ac:dyDescent="0.25">
      <c r="C160"/>
      <c r="H160"/>
    </row>
    <row r="161" spans="3:8" x14ac:dyDescent="0.25">
      <c r="C161"/>
      <c r="H161"/>
    </row>
    <row r="162" spans="3:8" x14ac:dyDescent="0.25">
      <c r="C162"/>
      <c r="H162"/>
    </row>
    <row r="163" spans="3:8" x14ac:dyDescent="0.25">
      <c r="C163"/>
      <c r="H163"/>
    </row>
    <row r="164" spans="3:8" x14ac:dyDescent="0.25">
      <c r="C164"/>
      <c r="H164"/>
    </row>
    <row r="165" spans="3:8" x14ac:dyDescent="0.25">
      <c r="C165" s="1" t="s">
        <v>651</v>
      </c>
      <c r="H165"/>
    </row>
    <row r="166" spans="3:8" x14ac:dyDescent="0.25">
      <c r="C166"/>
      <c r="H166"/>
    </row>
    <row r="167" spans="3:8" ht="30" x14ac:dyDescent="0.25">
      <c r="C167" s="177" t="s">
        <v>652</v>
      </c>
      <c r="D167" s="2" t="s">
        <v>653</v>
      </c>
      <c r="E167" s="2" t="s">
        <v>654</v>
      </c>
      <c r="H167"/>
    </row>
    <row r="168" spans="3:8" x14ac:dyDescent="0.25">
      <c r="C168" s="83">
        <v>2.8</v>
      </c>
      <c r="D168" s="137">
        <v>1</v>
      </c>
      <c r="H168"/>
    </row>
    <row r="169" spans="3:8" x14ac:dyDescent="0.25">
      <c r="C169" s="83">
        <v>2.5</v>
      </c>
      <c r="D169" s="178">
        <f>D$168*C169/C$168</f>
        <v>0.8928571428571429</v>
      </c>
      <c r="E169" s="137">
        <f>D169-D$168</f>
        <v>-0.1071428571428571</v>
      </c>
      <c r="H169"/>
    </row>
    <row r="170" spans="3:8" x14ac:dyDescent="0.25">
      <c r="C170" s="83">
        <f>C169-0.5</f>
        <v>2</v>
      </c>
      <c r="D170" s="178">
        <f>D$168*C170/C$168</f>
        <v>0.7142857142857143</v>
      </c>
      <c r="E170" s="137">
        <f>D170-D$168</f>
        <v>-0.2857142857142857</v>
      </c>
      <c r="H170"/>
    </row>
    <row r="171" spans="3:8" x14ac:dyDescent="0.25">
      <c r="C171" s="83">
        <f>C170-0.5</f>
        <v>1.5</v>
      </c>
      <c r="D171" s="178">
        <f>D$168*C171/C$168</f>
        <v>0.5357142857142857</v>
      </c>
      <c r="E171" s="137">
        <f>D171-D$168</f>
        <v>-0.4642857142857143</v>
      </c>
      <c r="H171"/>
    </row>
    <row r="172" spans="3:8" x14ac:dyDescent="0.25">
      <c r="C172" s="83">
        <f>C171-0.5</f>
        <v>1</v>
      </c>
      <c r="D172" s="178">
        <f>D$168*C172/C$168</f>
        <v>0.35714285714285715</v>
      </c>
      <c r="E172" s="137">
        <f>D172-D$168</f>
        <v>-0.64285714285714279</v>
      </c>
      <c r="H172"/>
    </row>
    <row r="173" spans="3:8" x14ac:dyDescent="0.25">
      <c r="C173"/>
      <c r="H173"/>
    </row>
    <row r="174" spans="3:8" x14ac:dyDescent="0.25">
      <c r="C174"/>
      <c r="E174" t="s">
        <v>650</v>
      </c>
      <c r="H174"/>
    </row>
    <row r="175" spans="3:8" x14ac:dyDescent="0.25">
      <c r="C175"/>
      <c r="E175" s="176">
        <f>1/(C168*10)</f>
        <v>3.5714285714285712E-2</v>
      </c>
      <c r="H175"/>
    </row>
  </sheetData>
  <pageMargins left="0.7" right="0.7" top="0.75" bottom="0.75" header="0.3" footer="0.3"/>
  <pageSetup orientation="portrait" horizontalDpi="1200" verticalDpi="12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1568A-7A7F-4A42-8BFD-6334773B7755}">
  <dimension ref="B1:H48"/>
  <sheetViews>
    <sheetView topLeftCell="B1" zoomScaleNormal="100" workbookViewId="0">
      <pane ySplit="3" topLeftCell="A4" activePane="bottomLeft" state="frozen"/>
      <selection pane="bottomLeft" activeCell="H22" sqref="H22"/>
    </sheetView>
  </sheetViews>
  <sheetFormatPr defaultRowHeight="15" x14ac:dyDescent="0.25"/>
  <cols>
    <col min="1" max="1" width="2.5703125" customWidth="1"/>
    <col min="2" max="2" width="4.42578125" style="3" customWidth="1"/>
    <col min="3" max="3" width="38.28515625" style="2" customWidth="1"/>
    <col min="4" max="4" width="18.7109375" customWidth="1"/>
    <col min="5" max="5" width="11.7109375" customWidth="1"/>
    <col min="6" max="7" width="9.7109375" customWidth="1"/>
    <col min="8" max="8" width="51.42578125" style="2" customWidth="1"/>
    <col min="11" max="11" width="11" bestFit="1" customWidth="1"/>
  </cols>
  <sheetData>
    <row r="1" spans="2:8" ht="15.75" thickTop="1" x14ac:dyDescent="0.25">
      <c r="B1" s="28" t="s">
        <v>443</v>
      </c>
      <c r="C1" s="28"/>
      <c r="D1" s="28"/>
      <c r="E1" s="28"/>
      <c r="F1" s="29"/>
      <c r="G1" s="29"/>
      <c r="H1" s="30"/>
    </row>
    <row r="2" spans="2:8" x14ac:dyDescent="0.25">
      <c r="D2" s="95" t="s">
        <v>1</v>
      </c>
      <c r="E2" s="95"/>
      <c r="F2" s="95"/>
      <c r="G2" s="95"/>
    </row>
    <row r="3" spans="2:8" ht="15.75" thickBot="1" x14ac:dyDescent="0.3">
      <c r="B3" s="66" t="s">
        <v>2</v>
      </c>
      <c r="C3" s="66" t="s">
        <v>3</v>
      </c>
      <c r="D3" s="103">
        <v>2025</v>
      </c>
      <c r="E3" s="103">
        <v>2030</v>
      </c>
      <c r="F3" s="103">
        <v>2040</v>
      </c>
      <c r="G3" s="103">
        <v>2050</v>
      </c>
      <c r="H3" s="66" t="s">
        <v>61</v>
      </c>
    </row>
    <row r="4" spans="2:8" ht="15.75" thickTop="1" x14ac:dyDescent="0.25">
      <c r="B4" s="98"/>
      <c r="C4" s="98" t="s">
        <v>6</v>
      </c>
      <c r="D4" s="98"/>
      <c r="E4" s="98"/>
      <c r="F4" s="96"/>
      <c r="G4" s="96"/>
      <c r="H4" s="96"/>
    </row>
    <row r="5" spans="2:8" x14ac:dyDescent="0.25">
      <c r="B5" s="6" t="s">
        <v>7</v>
      </c>
      <c r="C5" s="6" t="s">
        <v>8</v>
      </c>
      <c r="D5" s="186">
        <v>341</v>
      </c>
      <c r="E5" s="186">
        <v>281</v>
      </c>
      <c r="F5" s="186">
        <v>163</v>
      </c>
      <c r="G5" s="186">
        <v>77</v>
      </c>
      <c r="H5" s="6" t="s">
        <v>9</v>
      </c>
    </row>
    <row r="6" spans="2:8" x14ac:dyDescent="0.25">
      <c r="B6" s="6" t="s">
        <v>188</v>
      </c>
      <c r="C6" s="6" t="s">
        <v>189</v>
      </c>
      <c r="D6" s="105">
        <v>10.5</v>
      </c>
      <c r="E6" s="106"/>
      <c r="F6" s="106"/>
      <c r="G6" s="106"/>
      <c r="H6" s="6" t="s">
        <v>190</v>
      </c>
    </row>
    <row r="7" spans="2:8" x14ac:dyDescent="0.25">
      <c r="B7" s="6" t="s">
        <v>191</v>
      </c>
      <c r="C7" s="25" t="s">
        <v>29</v>
      </c>
      <c r="D7" s="107">
        <v>300</v>
      </c>
      <c r="E7" s="108"/>
      <c r="F7" s="108"/>
      <c r="G7" s="108"/>
      <c r="H7" s="6"/>
    </row>
    <row r="8" spans="2:8" x14ac:dyDescent="0.25">
      <c r="B8" s="6"/>
      <c r="C8" s="58" t="s">
        <v>192</v>
      </c>
      <c r="D8" s="6"/>
      <c r="E8" s="108"/>
      <c r="F8" s="108"/>
      <c r="G8" s="108"/>
      <c r="H8" s="34"/>
    </row>
    <row r="9" spans="2:8" x14ac:dyDescent="0.25">
      <c r="B9" s="6" t="s">
        <v>193</v>
      </c>
      <c r="C9" s="88" t="s">
        <v>155</v>
      </c>
      <c r="D9" s="104">
        <f>Parking!D9</f>
        <v>10450</v>
      </c>
      <c r="E9" s="108"/>
      <c r="F9" s="108"/>
      <c r="G9" s="108"/>
      <c r="H9" s="34" t="str">
        <f>'MD-HD'!H18</f>
        <v>CDOT (2021)</v>
      </c>
    </row>
    <row r="10" spans="2:8" x14ac:dyDescent="0.25">
      <c r="B10" s="6" t="s">
        <v>194</v>
      </c>
      <c r="C10" s="20" t="s">
        <v>195</v>
      </c>
      <c r="D10" s="109">
        <v>19642</v>
      </c>
      <c r="E10" s="108"/>
      <c r="F10" s="108"/>
      <c r="G10" s="108"/>
      <c r="H10" s="6" t="s">
        <v>196</v>
      </c>
    </row>
    <row r="11" spans="2:8" x14ac:dyDescent="0.25">
      <c r="B11" s="6" t="s">
        <v>197</v>
      </c>
      <c r="C11" s="20" t="s">
        <v>198</v>
      </c>
      <c r="D11" s="109">
        <f>12.8*2*250</f>
        <v>6400</v>
      </c>
      <c r="E11" s="108"/>
      <c r="F11" s="108"/>
      <c r="G11" s="108"/>
      <c r="H11" s="6" t="s">
        <v>199</v>
      </c>
    </row>
    <row r="12" spans="2:8" x14ac:dyDescent="0.25">
      <c r="B12" s="6"/>
      <c r="C12" s="38" t="s">
        <v>672</v>
      </c>
      <c r="D12" s="38"/>
      <c r="E12" s="38"/>
      <c r="F12" s="38"/>
      <c r="G12" s="38"/>
      <c r="H12" s="6"/>
    </row>
    <row r="13" spans="2:8" x14ac:dyDescent="0.25">
      <c r="B13" s="6"/>
      <c r="C13" s="20" t="s">
        <v>666</v>
      </c>
      <c r="D13" s="196">
        <v>3.4791107443039651</v>
      </c>
      <c r="E13" s="196">
        <v>2.2707530265357398</v>
      </c>
      <c r="F13" s="196">
        <v>1.0119839567160729</v>
      </c>
      <c r="G13" s="196">
        <v>0.34909959151547398</v>
      </c>
      <c r="H13" s="6"/>
    </row>
    <row r="14" spans="2:8" x14ac:dyDescent="0.25">
      <c r="B14" s="6"/>
      <c r="C14" s="20" t="s">
        <v>667</v>
      </c>
      <c r="D14" s="196">
        <v>0.1629903970394655</v>
      </c>
      <c r="E14" s="196">
        <v>6.23003152038571E-2</v>
      </c>
      <c r="F14" s="196">
        <v>1.0339712479423696E-2</v>
      </c>
      <c r="G14" s="196">
        <v>3.6762732119753477E-3</v>
      </c>
      <c r="H14" s="6"/>
    </row>
    <row r="15" spans="2:8" x14ac:dyDescent="0.25">
      <c r="B15" s="6"/>
      <c r="C15" s="20" t="s">
        <v>668</v>
      </c>
      <c r="D15" s="196">
        <v>8.1780062117261902E-3</v>
      </c>
      <c r="E15" s="196">
        <v>6.4926724440380456E-3</v>
      </c>
      <c r="F15" s="196">
        <v>5.7310588809980252E-3</v>
      </c>
      <c r="G15" s="196">
        <v>4.7981379591240702E-3</v>
      </c>
      <c r="H15" s="6"/>
    </row>
    <row r="16" spans="2:8" x14ac:dyDescent="0.25">
      <c r="B16" s="6"/>
      <c r="C16" s="20" t="s">
        <v>669</v>
      </c>
      <c r="D16" s="197">
        <v>2.2927218502208401E-3</v>
      </c>
      <c r="E16" s="197">
        <v>1.7676401704351998E-3</v>
      </c>
      <c r="F16" s="197">
        <v>1.0856853009032288E-3</v>
      </c>
      <c r="G16" s="197">
        <v>4.7831879159705042E-4</v>
      </c>
      <c r="H16" s="6"/>
    </row>
    <row r="17" spans="2:8" x14ac:dyDescent="0.25">
      <c r="B17" s="6"/>
      <c r="C17" s="2" t="s">
        <v>670</v>
      </c>
      <c r="D17" s="197">
        <v>8.6732866269749603E-2</v>
      </c>
      <c r="E17" s="197">
        <v>4.7194128869723198E-2</v>
      </c>
      <c r="F17" s="197">
        <v>2.7676007684306149E-2</v>
      </c>
      <c r="G17" s="197">
        <v>1.2907513705582104E-2</v>
      </c>
      <c r="H17" s="6"/>
    </row>
    <row r="18" spans="2:8" ht="30.75" thickBot="1" x14ac:dyDescent="0.3">
      <c r="B18" s="66"/>
      <c r="C18" s="110" t="s">
        <v>444</v>
      </c>
      <c r="D18" s="100"/>
      <c r="E18" s="100"/>
      <c r="F18" s="100"/>
      <c r="G18" s="100"/>
      <c r="H18" s="100" t="s">
        <v>459</v>
      </c>
    </row>
    <row r="19" spans="2:8" ht="30" x14ac:dyDescent="0.25">
      <c r="B19" s="66"/>
      <c r="C19" s="58" t="s">
        <v>451</v>
      </c>
      <c r="D19" s="148">
        <v>-0.22</v>
      </c>
      <c r="E19" s="108"/>
      <c r="F19" s="108"/>
      <c r="G19" s="108"/>
      <c r="H19" s="6" t="s">
        <v>445</v>
      </c>
    </row>
    <row r="20" spans="2:8" ht="45" x14ac:dyDescent="0.25">
      <c r="B20" s="66"/>
      <c r="C20" s="58" t="s">
        <v>448</v>
      </c>
      <c r="D20" s="104">
        <f>D10*D19*100%</f>
        <v>-4321.24</v>
      </c>
      <c r="E20" s="108"/>
      <c r="F20" s="108"/>
      <c r="G20" s="108"/>
      <c r="H20" s="34" t="s">
        <v>477</v>
      </c>
    </row>
    <row r="21" spans="2:8" ht="30" x14ac:dyDescent="0.25">
      <c r="B21" s="66"/>
      <c r="C21" s="58" t="s">
        <v>447</v>
      </c>
      <c r="D21" s="146">
        <f>$D20*D5*18/1000000</f>
        <v>-26.523771119999996</v>
      </c>
      <c r="E21" s="146">
        <f>$D20*E5*18/1000000</f>
        <v>-21.856831919999998</v>
      </c>
      <c r="F21" s="146">
        <f>$D20*F5*18/1000000</f>
        <v>-12.678518159999999</v>
      </c>
      <c r="G21" s="146">
        <f>$D20*G5*18/1000000</f>
        <v>-5.9892386399999999</v>
      </c>
      <c r="H21" s="34" t="s">
        <v>478</v>
      </c>
    </row>
    <row r="22" spans="2:8" x14ac:dyDescent="0.25">
      <c r="B22" s="66"/>
      <c r="C22" s="19" t="s">
        <v>449</v>
      </c>
      <c r="D22" s="122">
        <f>IF(D21&gt;0,"NA",-ROUND(D21,0))</f>
        <v>27</v>
      </c>
      <c r="E22" s="122">
        <f>IF(E21&gt;0,"NA",-ROUND(E21,0))</f>
        <v>22</v>
      </c>
      <c r="F22" s="122">
        <f>IF(F21&gt;0,"NA",-ROUND(F21,0))</f>
        <v>13</v>
      </c>
      <c r="G22" s="122">
        <f>IF(G21&gt;0,"NA",-ROUND(G21,0))</f>
        <v>6</v>
      </c>
      <c r="H22" s="34"/>
    </row>
    <row r="23" spans="2:8" x14ac:dyDescent="0.25">
      <c r="B23" s="66"/>
      <c r="H23" s="6"/>
    </row>
    <row r="24" spans="2:8" ht="30.75" thickBot="1" x14ac:dyDescent="0.3">
      <c r="B24" s="6"/>
      <c r="C24" s="110" t="s">
        <v>446</v>
      </c>
      <c r="D24" s="100"/>
      <c r="E24" s="100"/>
      <c r="F24" s="100"/>
      <c r="G24" s="100"/>
      <c r="H24" s="100" t="s">
        <v>460</v>
      </c>
    </row>
    <row r="25" spans="2:8" ht="30" x14ac:dyDescent="0.25">
      <c r="B25" s="6"/>
      <c r="C25" s="58" t="s">
        <v>450</v>
      </c>
      <c r="D25" s="148">
        <v>-7.0000000000000007E-2</v>
      </c>
      <c r="E25" s="108"/>
      <c r="F25" s="108"/>
      <c r="G25" s="108"/>
      <c r="H25" s="6" t="s">
        <v>445</v>
      </c>
    </row>
    <row r="26" spans="2:8" ht="30" x14ac:dyDescent="0.25">
      <c r="B26" s="6"/>
      <c r="C26" s="58" t="s">
        <v>452</v>
      </c>
      <c r="D26" s="120">
        <v>300</v>
      </c>
      <c r="E26" s="108"/>
      <c r="F26" s="108"/>
      <c r="G26" s="108"/>
      <c r="H26" s="6" t="s">
        <v>116</v>
      </c>
    </row>
    <row r="27" spans="2:8" x14ac:dyDescent="0.25">
      <c r="B27" s="6"/>
      <c r="C27" s="58" t="s">
        <v>453</v>
      </c>
      <c r="D27" s="147">
        <f>43560/300</f>
        <v>145.19999999999999</v>
      </c>
      <c r="E27" s="108"/>
      <c r="F27" s="108"/>
      <c r="G27" s="108"/>
      <c r="H27" s="6" t="s">
        <v>454</v>
      </c>
    </row>
    <row r="28" spans="2:8" x14ac:dyDescent="0.25">
      <c r="B28" s="6"/>
      <c r="C28" s="58" t="s">
        <v>455</v>
      </c>
    </row>
    <row r="29" spans="2:8" x14ac:dyDescent="0.25">
      <c r="B29" s="6"/>
      <c r="C29" s="88" t="s">
        <v>456</v>
      </c>
      <c r="D29" s="104">
        <f>TDM!D16*2*TDM!D18</f>
        <v>6350</v>
      </c>
      <c r="E29" s="108"/>
      <c r="F29" s="108"/>
      <c r="G29" s="108"/>
      <c r="H29" s="34" t="s">
        <v>479</v>
      </c>
    </row>
    <row r="30" spans="2:8" x14ac:dyDescent="0.25">
      <c r="B30" s="6"/>
      <c r="C30" s="88" t="s">
        <v>457</v>
      </c>
      <c r="D30" s="104">
        <f>D29*D25</f>
        <v>-444.50000000000006</v>
      </c>
      <c r="E30" s="108"/>
      <c r="F30" s="108"/>
      <c r="G30" s="108"/>
      <c r="H30" s="34" t="s">
        <v>480</v>
      </c>
    </row>
    <row r="31" spans="2:8" ht="30" x14ac:dyDescent="0.25">
      <c r="C31" s="58" t="s">
        <v>447</v>
      </c>
      <c r="D31" s="146">
        <f>$D30*$D27*D5/1000000</f>
        <v>-22.008617400000002</v>
      </c>
      <c r="E31" s="146">
        <f>$D30*$D27*E5/1000000</f>
        <v>-18.136133400000002</v>
      </c>
      <c r="F31" s="146">
        <f>$D30*$D27*F5/1000000</f>
        <v>-10.520248200000001</v>
      </c>
      <c r="G31" s="146">
        <f>$D30*$D27*G5/1000000</f>
        <v>-4.9696878</v>
      </c>
      <c r="H31" s="34" t="s">
        <v>481</v>
      </c>
    </row>
    <row r="32" spans="2:8" x14ac:dyDescent="0.25">
      <c r="C32" s="19" t="s">
        <v>449</v>
      </c>
      <c r="D32" s="122">
        <f>IF(D31&gt;0,"NA",-ROUND(D31,0))</f>
        <v>22</v>
      </c>
      <c r="E32" s="122">
        <f>IF(E31&gt;0,"NA",-ROUND(E31,0))</f>
        <v>18</v>
      </c>
      <c r="F32" s="122">
        <f>IF(F31&gt;0,"NA",-ROUND(F31,0))</f>
        <v>11</v>
      </c>
      <c r="G32" s="122">
        <f>IF(G31&gt;0,"NA",-ROUND(G31,0))</f>
        <v>5</v>
      </c>
      <c r="H32" s="6"/>
    </row>
    <row r="34" spans="3:8" ht="60.75" thickBot="1" x14ac:dyDescent="0.3">
      <c r="C34" s="110" t="s">
        <v>543</v>
      </c>
      <c r="D34" s="100"/>
      <c r="E34" s="100"/>
      <c r="F34" s="100"/>
      <c r="G34" s="100"/>
      <c r="H34" s="100" t="s">
        <v>462</v>
      </c>
    </row>
    <row r="35" spans="3:8" ht="30" x14ac:dyDescent="0.25">
      <c r="C35" s="58" t="s">
        <v>461</v>
      </c>
      <c r="D35" s="104">
        <f>D$20*25+D$30*150</f>
        <v>-174706</v>
      </c>
      <c r="E35" s="108"/>
      <c r="F35" s="108"/>
      <c r="G35" s="108"/>
      <c r="H35" s="34" t="s">
        <v>476</v>
      </c>
    </row>
    <row r="36" spans="3:8" ht="30" x14ac:dyDescent="0.25">
      <c r="C36" s="58" t="s">
        <v>447</v>
      </c>
      <c r="D36" s="146">
        <f>$D35*D$5/1000000</f>
        <v>-59.574745999999998</v>
      </c>
      <c r="E36" s="146">
        <f>$D35*E5/1000000</f>
        <v>-49.092385999999998</v>
      </c>
      <c r="F36" s="146">
        <f>$D35*F5/1000000</f>
        <v>-28.477077999999999</v>
      </c>
      <c r="G36" s="146">
        <f>$D35*G5/1000000</f>
        <v>-13.452362000000001</v>
      </c>
      <c r="H36" s="34" t="s">
        <v>475</v>
      </c>
    </row>
    <row r="37" spans="3:8" x14ac:dyDescent="0.25">
      <c r="C37" s="19" t="s">
        <v>449</v>
      </c>
      <c r="D37" s="122">
        <f>IF(D36&gt;0,"NA",-ROUND(D36,0))</f>
        <v>60</v>
      </c>
      <c r="E37" s="122">
        <f>IF(E36&gt;0,"NA",-ROUND(E36,0))</f>
        <v>49</v>
      </c>
      <c r="F37" s="122">
        <f>IF(F36&gt;0,"NA",-ROUND(F36,0))</f>
        <v>28</v>
      </c>
      <c r="G37" s="122">
        <f>IF(G36&gt;0,"NA",-ROUND(G36,0))</f>
        <v>13</v>
      </c>
      <c r="H37" s="34"/>
    </row>
    <row r="38" spans="3:8" x14ac:dyDescent="0.25">
      <c r="H38" s="6"/>
    </row>
    <row r="39" spans="3:8" ht="60.75" thickBot="1" x14ac:dyDescent="0.3">
      <c r="C39" s="110" t="s">
        <v>544</v>
      </c>
      <c r="D39" s="100"/>
      <c r="E39" s="100"/>
      <c r="F39" s="100"/>
      <c r="G39" s="100"/>
      <c r="H39" s="100" t="s">
        <v>545</v>
      </c>
    </row>
    <row r="40" spans="3:8" ht="30" x14ac:dyDescent="0.25">
      <c r="C40" s="58" t="s">
        <v>461</v>
      </c>
      <c r="D40" s="104">
        <f>D$20*15+D$30*100</f>
        <v>-109268.6</v>
      </c>
      <c r="E40" s="108"/>
      <c r="F40" s="108"/>
      <c r="G40" s="108"/>
      <c r="H40" s="34" t="s">
        <v>546</v>
      </c>
    </row>
    <row r="41" spans="3:8" ht="30" x14ac:dyDescent="0.25">
      <c r="C41" s="58" t="s">
        <v>447</v>
      </c>
      <c r="D41" s="146">
        <f>D21+D31</f>
        <v>-48.532388519999998</v>
      </c>
      <c r="E41" s="146">
        <f>E21+E31</f>
        <v>-39.992965319999996</v>
      </c>
      <c r="F41" s="146">
        <f>F21+F31</f>
        <v>-23.19876636</v>
      </c>
      <c r="G41" s="146">
        <f>G21+G31</f>
        <v>-10.958926439999999</v>
      </c>
      <c r="H41" s="34" t="s">
        <v>547</v>
      </c>
    </row>
    <row r="42" spans="3:8" x14ac:dyDescent="0.25">
      <c r="C42" s="19" t="s">
        <v>449</v>
      </c>
      <c r="D42" s="122">
        <f>IF(D41&gt;0,"NA",-ROUND(D41,0))</f>
        <v>49</v>
      </c>
      <c r="E42" s="122">
        <f>IF(E41&gt;0,"NA",-ROUND(E41,0))</f>
        <v>40</v>
      </c>
      <c r="F42" s="122">
        <f>IF(F41&gt;0,"NA",-ROUND(F41,0))</f>
        <v>23</v>
      </c>
      <c r="G42" s="122">
        <f>IF(G41&gt;0,"NA",-ROUND(G41,0))</f>
        <v>11</v>
      </c>
      <c r="H42" s="6"/>
    </row>
    <row r="48" spans="3:8" x14ac:dyDescent="0.25">
      <c r="D48" t="s">
        <v>665</v>
      </c>
    </row>
  </sheetData>
  <pageMargins left="0.7" right="0.7" top="0.75" bottom="0.75" header="0.3" footer="0.3"/>
  <pageSetup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8B3A8-2746-4ADE-A779-68DFBD00B3A5}">
  <dimension ref="A1:O78"/>
  <sheetViews>
    <sheetView zoomScaleNormal="100" workbookViewId="0">
      <pane ySplit="3" topLeftCell="A4" activePane="bottomLeft" state="frozen"/>
      <selection pane="bottomLeft" activeCell="H29" sqref="H29"/>
    </sheetView>
  </sheetViews>
  <sheetFormatPr defaultRowHeight="15" x14ac:dyDescent="0.25"/>
  <cols>
    <col min="1" max="1" width="3.28515625" customWidth="1"/>
    <col min="2" max="2" width="4.42578125" style="3" customWidth="1"/>
    <col min="3" max="3" width="36.140625" style="2" customWidth="1"/>
    <col min="4" max="4" width="16.28515625" customWidth="1"/>
    <col min="5" max="5" width="15.28515625" customWidth="1"/>
    <col min="6" max="6" width="12.42578125" customWidth="1"/>
    <col min="7" max="7" width="13.85546875" customWidth="1"/>
    <col min="8" max="8" width="51" style="2" customWidth="1"/>
    <col min="11" max="11" width="9.140625" customWidth="1"/>
    <col min="13" max="13" width="7.85546875" customWidth="1"/>
  </cols>
  <sheetData>
    <row r="1" spans="1:15" ht="15.75" thickTop="1" x14ac:dyDescent="0.25">
      <c r="B1" s="28" t="s">
        <v>244</v>
      </c>
      <c r="C1" s="28"/>
      <c r="D1" s="28"/>
      <c r="E1" s="28"/>
      <c r="F1" s="29"/>
      <c r="G1" s="29"/>
      <c r="H1" s="30"/>
    </row>
    <row r="2" spans="1:15" x14ac:dyDescent="0.25">
      <c r="D2" s="1" t="s">
        <v>1</v>
      </c>
      <c r="E2" s="1"/>
      <c r="F2" s="1"/>
      <c r="G2" s="1"/>
    </row>
    <row r="3" spans="1:15" ht="15.75" thickBot="1" x14ac:dyDescent="0.3">
      <c r="B3" s="35" t="s">
        <v>2</v>
      </c>
      <c r="C3" s="17" t="s">
        <v>3</v>
      </c>
      <c r="D3" s="13">
        <v>2025</v>
      </c>
      <c r="E3" s="13">
        <v>2030</v>
      </c>
      <c r="F3" s="13">
        <v>2040</v>
      </c>
      <c r="G3" s="13">
        <v>2050</v>
      </c>
      <c r="H3" s="17" t="s">
        <v>61</v>
      </c>
    </row>
    <row r="4" spans="1:15" ht="15.75" thickTop="1" x14ac:dyDescent="0.25">
      <c r="B4" s="36"/>
      <c r="C4" s="36" t="s">
        <v>6</v>
      </c>
      <c r="D4" s="36"/>
      <c r="E4" s="36"/>
      <c r="F4" s="93"/>
      <c r="G4" s="93"/>
      <c r="H4" s="96"/>
      <c r="J4" s="187"/>
      <c r="K4" s="187"/>
      <c r="L4" s="188"/>
      <c r="M4" s="188"/>
      <c r="N4" s="188"/>
      <c r="O4" s="188"/>
    </row>
    <row r="5" spans="1:15" x14ac:dyDescent="0.25">
      <c r="C5" s="39" t="s">
        <v>70</v>
      </c>
      <c r="D5" s="38"/>
      <c r="E5" s="38"/>
      <c r="F5" s="38"/>
      <c r="G5" s="38"/>
      <c r="H5" s="39"/>
      <c r="J5" s="189"/>
      <c r="L5" s="190"/>
      <c r="M5" s="190"/>
      <c r="N5" s="190"/>
    </row>
    <row r="6" spans="1:15" x14ac:dyDescent="0.25">
      <c r="B6" s="3" t="s">
        <v>63</v>
      </c>
      <c r="C6" s="20" t="s">
        <v>73</v>
      </c>
      <c r="D6" s="7">
        <v>341</v>
      </c>
      <c r="E6" s="185">
        <v>281</v>
      </c>
      <c r="F6" s="185">
        <v>163</v>
      </c>
      <c r="G6" s="185">
        <v>77</v>
      </c>
      <c r="H6" s="6" t="s">
        <v>9</v>
      </c>
      <c r="J6" s="189"/>
      <c r="K6" s="190"/>
      <c r="L6" s="190"/>
      <c r="M6" s="190"/>
      <c r="N6" s="190"/>
      <c r="O6" s="190"/>
    </row>
    <row r="7" spans="1:15" ht="45" x14ac:dyDescent="0.25">
      <c r="A7" s="179"/>
      <c r="B7" s="3" t="s">
        <v>66</v>
      </c>
      <c r="C7" s="20" t="s">
        <v>368</v>
      </c>
      <c r="D7" s="61">
        <f>D6*2.5</f>
        <v>852.5</v>
      </c>
      <c r="E7" s="61">
        <f>D7*E6/$D6</f>
        <v>702.5</v>
      </c>
      <c r="F7" s="61">
        <f>E7*F6/$D6</f>
        <v>335.79912023460412</v>
      </c>
      <c r="G7" s="61">
        <f>F7*G6/$D6</f>
        <v>75.82560779491061</v>
      </c>
      <c r="H7" s="6" t="s">
        <v>246</v>
      </c>
      <c r="J7" s="189"/>
      <c r="K7" s="190"/>
      <c r="L7" s="190"/>
      <c r="M7" s="190"/>
      <c r="N7" s="190"/>
      <c r="O7" s="190"/>
    </row>
    <row r="8" spans="1:15" x14ac:dyDescent="0.25">
      <c r="A8" s="179"/>
      <c r="C8" s="39" t="s">
        <v>671</v>
      </c>
      <c r="D8" s="61"/>
      <c r="E8" s="61"/>
      <c r="F8" s="61"/>
      <c r="G8" s="61"/>
      <c r="H8" s="6"/>
      <c r="J8" s="192"/>
      <c r="K8" s="190"/>
      <c r="L8" s="190"/>
      <c r="M8" s="190"/>
      <c r="N8" s="190"/>
      <c r="O8" s="190"/>
    </row>
    <row r="9" spans="1:15" x14ac:dyDescent="0.25">
      <c r="A9" s="179"/>
      <c r="C9" s="20" t="s">
        <v>666</v>
      </c>
      <c r="D9" s="196">
        <v>3.4791107443039651</v>
      </c>
      <c r="E9" s="196">
        <v>2.2707530265357398</v>
      </c>
      <c r="F9">
        <v>1.0119839567160729</v>
      </c>
      <c r="G9" s="196">
        <v>0.34909959151547398</v>
      </c>
      <c r="H9" s="6"/>
      <c r="J9" s="192"/>
      <c r="K9" s="190"/>
      <c r="L9" s="190"/>
      <c r="M9" s="190"/>
      <c r="N9" s="190"/>
      <c r="O9" s="190"/>
    </row>
    <row r="10" spans="1:15" x14ac:dyDescent="0.25">
      <c r="A10" s="179"/>
      <c r="C10" s="20" t="s">
        <v>667</v>
      </c>
      <c r="D10" s="196">
        <v>0.1629903970394655</v>
      </c>
      <c r="E10" s="196">
        <v>6.23003152038571E-2</v>
      </c>
      <c r="F10">
        <v>1.0339712479423696E-2</v>
      </c>
      <c r="G10" s="196">
        <v>3.6762732119753477E-3</v>
      </c>
      <c r="H10" s="6"/>
      <c r="J10" s="192"/>
      <c r="K10" s="190"/>
      <c r="L10" s="190"/>
      <c r="M10" s="190"/>
      <c r="N10" s="190"/>
      <c r="O10" s="190"/>
    </row>
    <row r="11" spans="1:15" x14ac:dyDescent="0.25">
      <c r="A11" s="179"/>
      <c r="C11" s="20" t="s">
        <v>668</v>
      </c>
      <c r="D11" s="196">
        <v>8.1780062117261902E-3</v>
      </c>
      <c r="E11" s="196">
        <v>6.4926724440380456E-3</v>
      </c>
      <c r="F11">
        <v>5.7310588809980252E-3</v>
      </c>
      <c r="G11" s="196">
        <v>4.7981379591240702E-3</v>
      </c>
      <c r="H11" s="6"/>
      <c r="J11" s="192"/>
      <c r="K11" s="190"/>
      <c r="L11" s="190"/>
      <c r="M11" s="190"/>
      <c r="N11" s="190"/>
      <c r="O11" s="190"/>
    </row>
    <row r="12" spans="1:15" x14ac:dyDescent="0.25">
      <c r="A12" s="179"/>
      <c r="C12" s="20" t="s">
        <v>669</v>
      </c>
      <c r="D12" s="196">
        <v>2.2927218502208401E-3</v>
      </c>
      <c r="E12" s="196">
        <v>1.7676401704351998E-3</v>
      </c>
      <c r="F12">
        <v>1.0856853009032288E-3</v>
      </c>
      <c r="G12" s="196">
        <v>4.7831879159705042E-4</v>
      </c>
      <c r="H12" s="6"/>
      <c r="J12" s="192"/>
      <c r="K12" s="190"/>
      <c r="L12" s="190"/>
      <c r="M12" s="190"/>
      <c r="N12" s="190"/>
      <c r="O12" s="190"/>
    </row>
    <row r="13" spans="1:15" x14ac:dyDescent="0.25">
      <c r="A13" s="179"/>
      <c r="C13" s="2" t="s">
        <v>670</v>
      </c>
      <c r="D13" s="196">
        <v>8.6732866269749603E-2</v>
      </c>
      <c r="E13" s="196">
        <v>4.7194128869723198E-2</v>
      </c>
      <c r="F13">
        <v>2.7676007684306149E-2</v>
      </c>
      <c r="G13" s="196">
        <v>1.2907513705582104E-2</v>
      </c>
      <c r="H13" s="6"/>
      <c r="J13" s="192"/>
      <c r="K13" s="190"/>
      <c r="L13" s="190"/>
      <c r="M13" s="190"/>
      <c r="N13" s="190"/>
      <c r="O13" s="190"/>
    </row>
    <row r="14" spans="1:15" x14ac:dyDescent="0.25">
      <c r="A14" s="179"/>
      <c r="B14" s="3" t="s">
        <v>369</v>
      </c>
      <c r="C14" s="20" t="s">
        <v>370</v>
      </c>
      <c r="D14" s="61">
        <v>0</v>
      </c>
      <c r="E14" s="61">
        <f>D14*E7/$D7</f>
        <v>0</v>
      </c>
      <c r="F14" s="61">
        <f>E14*F7/$D7</f>
        <v>0</v>
      </c>
      <c r="G14" s="61">
        <f>F14*G7/$D7</f>
        <v>0</v>
      </c>
      <c r="H14" s="6"/>
      <c r="J14" s="191"/>
      <c r="K14" s="190"/>
      <c r="L14" s="190"/>
      <c r="M14" s="190"/>
      <c r="N14" s="190"/>
      <c r="O14" s="190"/>
    </row>
    <row r="15" spans="1:15" x14ac:dyDescent="0.25">
      <c r="C15" s="6" t="s">
        <v>247</v>
      </c>
      <c r="D15" s="3"/>
      <c r="E15" s="3"/>
      <c r="F15" s="3"/>
      <c r="G15" s="3"/>
      <c r="H15" s="6"/>
    </row>
    <row r="16" spans="1:15" x14ac:dyDescent="0.25">
      <c r="B16" s="3" t="s">
        <v>11</v>
      </c>
      <c r="C16" s="20" t="s">
        <v>73</v>
      </c>
      <c r="D16" s="4">
        <v>12.7</v>
      </c>
      <c r="E16" s="5">
        <f t="shared" ref="E16:G18" si="0">D16</f>
        <v>12.7</v>
      </c>
      <c r="F16" s="5">
        <f t="shared" si="0"/>
        <v>12.7</v>
      </c>
      <c r="G16" s="5">
        <f t="shared" si="0"/>
        <v>12.7</v>
      </c>
      <c r="H16" s="6" t="s">
        <v>248</v>
      </c>
    </row>
    <row r="17" spans="2:13" ht="30" x14ac:dyDescent="0.25">
      <c r="B17" s="3" t="s">
        <v>14</v>
      </c>
      <c r="C17" s="20" t="s">
        <v>245</v>
      </c>
      <c r="D17" s="4">
        <v>25</v>
      </c>
      <c r="E17" s="5">
        <f t="shared" si="0"/>
        <v>25</v>
      </c>
      <c r="F17" s="5">
        <f t="shared" si="0"/>
        <v>25</v>
      </c>
      <c r="G17" s="5">
        <f t="shared" si="0"/>
        <v>25</v>
      </c>
      <c r="H17" s="6" t="s">
        <v>249</v>
      </c>
    </row>
    <row r="18" spans="2:13" x14ac:dyDescent="0.25">
      <c r="B18" s="3" t="s">
        <v>191</v>
      </c>
      <c r="C18" s="25" t="s">
        <v>29</v>
      </c>
      <c r="D18" s="92">
        <v>250</v>
      </c>
      <c r="E18" s="27">
        <f t="shared" si="0"/>
        <v>250</v>
      </c>
      <c r="F18" s="27">
        <f t="shared" si="0"/>
        <v>250</v>
      </c>
      <c r="G18" s="27">
        <f t="shared" si="0"/>
        <v>250</v>
      </c>
      <c r="H18" s="6" t="s">
        <v>250</v>
      </c>
    </row>
    <row r="19" spans="2:13" x14ac:dyDescent="0.25">
      <c r="C19" s="6"/>
      <c r="D19" s="35"/>
      <c r="E19" s="35"/>
      <c r="F19" s="35"/>
      <c r="G19" s="35"/>
      <c r="H19" s="6"/>
    </row>
    <row r="20" spans="2:13" ht="15.75" thickBot="1" x14ac:dyDescent="0.3">
      <c r="B20" s="35"/>
      <c r="C20" s="54" t="s">
        <v>251</v>
      </c>
      <c r="D20" s="99"/>
      <c r="E20" s="99"/>
      <c r="F20" s="99"/>
      <c r="G20" s="99"/>
      <c r="H20" s="100" t="s">
        <v>256</v>
      </c>
    </row>
    <row r="21" spans="2:13" ht="45" x14ac:dyDescent="0.25">
      <c r="C21" s="58" t="s">
        <v>440</v>
      </c>
      <c r="D21" s="59">
        <v>-0.05</v>
      </c>
      <c r="E21" s="9">
        <f>D21</f>
        <v>-0.05</v>
      </c>
      <c r="F21" s="9">
        <f>E21</f>
        <v>-0.05</v>
      </c>
      <c r="G21" s="9">
        <f>F21</f>
        <v>-0.05</v>
      </c>
      <c r="H21" s="6" t="s">
        <v>458</v>
      </c>
    </row>
    <row r="22" spans="2:13" ht="30" x14ac:dyDescent="0.25">
      <c r="C22" s="58" t="s">
        <v>441</v>
      </c>
      <c r="D22" s="60">
        <f>D16*2*D18*1000*D21</f>
        <v>-317500</v>
      </c>
      <c r="E22" s="60">
        <f>E16*2*E18*1000*E21</f>
        <v>-317500</v>
      </c>
      <c r="F22" s="60">
        <f>F16*2*F18*1000*F21</f>
        <v>-317500</v>
      </c>
      <c r="G22" s="60">
        <f>G16*2*G18*1000*G21</f>
        <v>-317500</v>
      </c>
      <c r="H22" s="34" t="s">
        <v>258</v>
      </c>
    </row>
    <row r="23" spans="2:13" x14ac:dyDescent="0.25">
      <c r="C23" s="58" t="s">
        <v>259</v>
      </c>
      <c r="D23" s="10">
        <f>D22*D$6/1000000</f>
        <v>-108.2675</v>
      </c>
      <c r="E23" s="10">
        <f>E22*E$6/1000000</f>
        <v>-89.217500000000001</v>
      </c>
      <c r="F23" s="10">
        <f>F22*F$6/1000000</f>
        <v>-51.752499999999998</v>
      </c>
      <c r="G23" s="10">
        <f>G22*G$6/1000000</f>
        <v>-24.447500000000002</v>
      </c>
      <c r="H23" s="34" t="s">
        <v>260</v>
      </c>
      <c r="L23" s="65"/>
      <c r="M23" s="62"/>
    </row>
    <row r="24" spans="2:13" x14ac:dyDescent="0.25">
      <c r="C24" s="19" t="s">
        <v>442</v>
      </c>
      <c r="D24" s="12">
        <f>IF(D23&gt;0,"NA",-ROUND(D23,0))</f>
        <v>108</v>
      </c>
      <c r="E24" s="12">
        <f>IF(E23&gt;0,"NA",-ROUND(E23,0))</f>
        <v>89</v>
      </c>
      <c r="F24" s="12">
        <f>IF(F23&gt;0,"NA",-ROUND(F23,0))</f>
        <v>52</v>
      </c>
      <c r="G24" s="12">
        <f>IF(G23&gt;0,"NA",-ROUND(G23,0))</f>
        <v>24</v>
      </c>
      <c r="H24" s="34"/>
      <c r="L24" s="65"/>
      <c r="M24" s="62"/>
    </row>
    <row r="25" spans="2:13" x14ac:dyDescent="0.25">
      <c r="H25" s="6"/>
      <c r="L25" s="62"/>
      <c r="M25" s="62"/>
    </row>
    <row r="26" spans="2:13" ht="15.75" thickBot="1" x14ac:dyDescent="0.3">
      <c r="C26" s="54" t="s">
        <v>261</v>
      </c>
      <c r="D26" s="99"/>
      <c r="E26" s="99"/>
      <c r="F26" s="99"/>
      <c r="G26" s="99"/>
      <c r="H26" s="100" t="s">
        <v>252</v>
      </c>
      <c r="L26" s="63"/>
      <c r="M26" s="63"/>
    </row>
    <row r="27" spans="2:13" ht="30" x14ac:dyDescent="0.25">
      <c r="C27" s="58" t="s">
        <v>262</v>
      </c>
      <c r="D27" s="180">
        <v>7</v>
      </c>
      <c r="E27" s="181">
        <f>D27</f>
        <v>7</v>
      </c>
      <c r="F27" s="181">
        <f>E27</f>
        <v>7</v>
      </c>
      <c r="G27" s="181">
        <f>F27</f>
        <v>7</v>
      </c>
      <c r="H27" s="6" t="s">
        <v>253</v>
      </c>
      <c r="L27" s="62"/>
      <c r="M27" s="62"/>
    </row>
    <row r="28" spans="2:13" x14ac:dyDescent="0.25">
      <c r="C28" s="58" t="s">
        <v>259</v>
      </c>
      <c r="D28" s="60">
        <f>-D27*1000 *D6/1000000</f>
        <v>-2.387</v>
      </c>
      <c r="E28" s="60">
        <f>-E27*1000 *E6/1000000</f>
        <v>-1.9670000000000001</v>
      </c>
      <c r="F28" s="60">
        <f>-F27*1000 *F6/1000000</f>
        <v>-1.141</v>
      </c>
      <c r="G28" s="60">
        <f>-G27*1000 *G6/1000000</f>
        <v>-0.53900000000000003</v>
      </c>
      <c r="H28" s="34" t="s">
        <v>254</v>
      </c>
      <c r="L28" s="63"/>
      <c r="M28" s="63"/>
    </row>
    <row r="29" spans="2:13" x14ac:dyDescent="0.25">
      <c r="C29" s="19" t="s">
        <v>655</v>
      </c>
      <c r="D29" s="183">
        <f>IF(D28&gt;0,"NA",-ROUND(D28,0))</f>
        <v>2</v>
      </c>
      <c r="E29" s="183">
        <f>IF(E28&gt;0,"NA",-ROUND(E28,0))</f>
        <v>2</v>
      </c>
      <c r="F29" s="183">
        <f>IF(F28&gt;0,"NA",-ROUND(F28,0))</f>
        <v>1</v>
      </c>
      <c r="G29" s="183">
        <f>IF(G28&gt;0,"NA",-ROUND(G28,0))</f>
        <v>1</v>
      </c>
      <c r="H29" s="34"/>
      <c r="L29" s="63"/>
      <c r="M29" s="63"/>
    </row>
    <row r="30" spans="2:13" x14ac:dyDescent="0.25">
      <c r="H30" s="34"/>
      <c r="L30" s="62"/>
      <c r="M30" s="64"/>
    </row>
    <row r="31" spans="2:13" hidden="1" x14ac:dyDescent="0.25">
      <c r="C31" s="58"/>
      <c r="D31" s="10"/>
      <c r="E31" s="10"/>
      <c r="F31" s="10"/>
      <c r="G31" s="10"/>
      <c r="H31" s="6"/>
    </row>
    <row r="32" spans="2:13" ht="15.75" hidden="1" thickBot="1" x14ac:dyDescent="0.3">
      <c r="C32" s="54" t="s">
        <v>261</v>
      </c>
      <c r="D32" s="99"/>
      <c r="E32" s="99"/>
      <c r="F32" s="99"/>
      <c r="G32" s="99"/>
      <c r="H32" s="100" t="s">
        <v>252</v>
      </c>
    </row>
    <row r="33" spans="2:12" ht="30" hidden="1" x14ac:dyDescent="0.25">
      <c r="B33" s="35"/>
      <c r="C33" s="58" t="s">
        <v>262</v>
      </c>
      <c r="D33" s="60">
        <v>7</v>
      </c>
      <c r="E33" s="27">
        <f>D33</f>
        <v>7</v>
      </c>
      <c r="F33" s="27">
        <f>E33</f>
        <v>7</v>
      </c>
      <c r="G33" s="27">
        <f>F33</f>
        <v>7</v>
      </c>
      <c r="H33" s="6" t="s">
        <v>253</v>
      </c>
    </row>
    <row r="34" spans="2:12" hidden="1" x14ac:dyDescent="0.25">
      <c r="B34" s="35"/>
      <c r="C34" s="58" t="s">
        <v>259</v>
      </c>
      <c r="D34" s="10">
        <f>-D33*D$6/1000</f>
        <v>-2.387</v>
      </c>
      <c r="E34" s="10">
        <f>-E33*E$6/1000</f>
        <v>-1.9670000000000001</v>
      </c>
      <c r="F34" s="10">
        <f>-F33*F$6/1000</f>
        <v>-1.141</v>
      </c>
      <c r="G34" s="10">
        <f>-G33*G$6/1000</f>
        <v>-0.53900000000000003</v>
      </c>
      <c r="H34" s="34" t="s">
        <v>254</v>
      </c>
    </row>
    <row r="35" spans="2:12" hidden="1" x14ac:dyDescent="0.25">
      <c r="B35" s="35"/>
      <c r="C35" s="19" t="s">
        <v>255</v>
      </c>
      <c r="D35" s="12">
        <f>IF(D34&gt;0,"NA",-ROUND(D34,0))</f>
        <v>2</v>
      </c>
      <c r="E35" s="12">
        <f>IF(E34&gt;0,"NA",-ROUND(E34,0))</f>
        <v>2</v>
      </c>
      <c r="F35" s="12">
        <f>IF(F34&gt;0,"NA",-ROUND(F34,0))</f>
        <v>1</v>
      </c>
      <c r="G35" s="12">
        <f>IF(G34&gt;0,"NA",-ROUND(G34,0))</f>
        <v>1</v>
      </c>
      <c r="H35" s="6"/>
    </row>
    <row r="36" spans="2:12" hidden="1" x14ac:dyDescent="0.25">
      <c r="B36" s="35"/>
      <c r="C36" s="58"/>
      <c r="D36" s="10"/>
      <c r="E36" s="10"/>
      <c r="F36" s="10"/>
      <c r="G36" s="10"/>
      <c r="H36" s="6"/>
    </row>
    <row r="37" spans="2:12" ht="15.75" thickBot="1" x14ac:dyDescent="0.3">
      <c r="B37" s="35"/>
      <c r="C37" s="54" t="s">
        <v>263</v>
      </c>
      <c r="D37" s="99"/>
      <c r="E37" s="99"/>
      <c r="F37" s="99"/>
      <c r="G37" s="99"/>
      <c r="H37" s="100" t="s">
        <v>264</v>
      </c>
      <c r="L37" s="1"/>
    </row>
    <row r="38" spans="2:12" x14ac:dyDescent="0.25">
      <c r="B38" s="35"/>
      <c r="C38" s="3" t="s">
        <v>265</v>
      </c>
      <c r="D38" s="4">
        <v>5.8</v>
      </c>
      <c r="E38" s="5">
        <f t="shared" ref="E38:G40" si="1">D38</f>
        <v>5.8</v>
      </c>
      <c r="F38" s="5">
        <f t="shared" si="1"/>
        <v>5.8</v>
      </c>
      <c r="G38" s="5">
        <f t="shared" si="1"/>
        <v>5.8</v>
      </c>
      <c r="H38" s="6" t="s">
        <v>266</v>
      </c>
    </row>
    <row r="39" spans="2:12" ht="45" x14ac:dyDescent="0.25">
      <c r="B39"/>
      <c r="C39" s="3" t="s">
        <v>267</v>
      </c>
      <c r="D39" s="8">
        <v>0.65</v>
      </c>
      <c r="E39" s="9">
        <f t="shared" si="1"/>
        <v>0.65</v>
      </c>
      <c r="F39" s="9">
        <f t="shared" si="1"/>
        <v>0.65</v>
      </c>
      <c r="G39" s="9">
        <f t="shared" si="1"/>
        <v>0.65</v>
      </c>
      <c r="H39" s="6" t="s">
        <v>268</v>
      </c>
    </row>
    <row r="40" spans="2:12" ht="30" x14ac:dyDescent="0.25">
      <c r="B40"/>
      <c r="C40" s="3" t="s">
        <v>269</v>
      </c>
      <c r="D40" s="3">
        <v>1.2</v>
      </c>
      <c r="E40" s="5">
        <f t="shared" si="1"/>
        <v>1.2</v>
      </c>
      <c r="F40" s="5">
        <f t="shared" si="1"/>
        <v>1.2</v>
      </c>
      <c r="G40" s="5">
        <f t="shared" si="1"/>
        <v>1.2</v>
      </c>
      <c r="H40" s="6" t="s">
        <v>270</v>
      </c>
      <c r="L40" s="83"/>
    </row>
    <row r="41" spans="2:12" x14ac:dyDescent="0.25">
      <c r="B41"/>
      <c r="C41" s="3" t="s">
        <v>271</v>
      </c>
      <c r="D41" s="35"/>
      <c r="E41" s="35"/>
      <c r="F41" s="35"/>
      <c r="G41" s="35"/>
      <c r="H41" s="66"/>
    </row>
    <row r="42" spans="2:12" x14ac:dyDescent="0.25">
      <c r="B42"/>
      <c r="C42" s="55" t="s">
        <v>73</v>
      </c>
      <c r="D42" s="60">
        <f>-D38*D39*D17*D18</f>
        <v>-23562.5</v>
      </c>
      <c r="E42" s="56">
        <f>D42</f>
        <v>-23562.5</v>
      </c>
      <c r="F42" s="56">
        <f t="shared" ref="E42:G43" si="2">E42</f>
        <v>-23562.5</v>
      </c>
      <c r="G42" s="56">
        <f t="shared" si="2"/>
        <v>-23562.5</v>
      </c>
      <c r="H42" s="34" t="s">
        <v>272</v>
      </c>
      <c r="L42" s="83"/>
    </row>
    <row r="43" spans="2:12" x14ac:dyDescent="0.25">
      <c r="B43"/>
      <c r="C43" s="88" t="s">
        <v>245</v>
      </c>
      <c r="D43" s="60">
        <f>D17*D18*D40</f>
        <v>7500</v>
      </c>
      <c r="E43" s="56">
        <f t="shared" si="2"/>
        <v>7500</v>
      </c>
      <c r="F43" s="56">
        <f t="shared" si="2"/>
        <v>7500</v>
      </c>
      <c r="G43" s="56">
        <f t="shared" si="2"/>
        <v>7500</v>
      </c>
      <c r="H43" s="34" t="s">
        <v>273</v>
      </c>
    </row>
    <row r="44" spans="2:12" x14ac:dyDescent="0.25">
      <c r="B44"/>
      <c r="C44" s="135" t="s">
        <v>274</v>
      </c>
      <c r="D44" s="10"/>
      <c r="E44" s="10"/>
      <c r="F44" s="10"/>
      <c r="G44" s="10"/>
      <c r="H44" s="6"/>
    </row>
    <row r="45" spans="2:12" x14ac:dyDescent="0.25">
      <c r="B45"/>
      <c r="C45" s="55" t="s">
        <v>73</v>
      </c>
      <c r="D45" s="10">
        <f t="shared" ref="D45:G46" si="3">D42*D6/1000000</f>
        <v>-8.0348124999999992</v>
      </c>
      <c r="E45" s="10">
        <f t="shared" si="3"/>
        <v>-6.6210624999999999</v>
      </c>
      <c r="F45" s="10">
        <f t="shared" si="3"/>
        <v>-3.8406875</v>
      </c>
      <c r="G45" s="10">
        <f t="shared" si="3"/>
        <v>-1.8143125</v>
      </c>
      <c r="H45" s="34" t="s">
        <v>275</v>
      </c>
    </row>
    <row r="46" spans="2:12" x14ac:dyDescent="0.25">
      <c r="B46"/>
      <c r="C46" s="88" t="s">
        <v>368</v>
      </c>
      <c r="D46" s="10">
        <f t="shared" si="3"/>
        <v>6.3937499999999998</v>
      </c>
      <c r="E46" s="10">
        <f t="shared" si="3"/>
        <v>5.2687499999999998</v>
      </c>
      <c r="F46" s="10">
        <f t="shared" si="3"/>
        <v>2.5184934017595308</v>
      </c>
      <c r="G46" s="10">
        <f t="shared" si="3"/>
        <v>0.56869205846182957</v>
      </c>
      <c r="H46" s="34" t="s">
        <v>276</v>
      </c>
    </row>
    <row r="47" spans="2:12" x14ac:dyDescent="0.25">
      <c r="B47"/>
      <c r="C47" s="88" t="s">
        <v>370</v>
      </c>
      <c r="D47" s="10">
        <f>D43*D14/1000000</f>
        <v>0</v>
      </c>
      <c r="E47" s="10">
        <f>E43*E14/1000000</f>
        <v>0</v>
      </c>
      <c r="F47" s="10">
        <f>F43*F14/1000000</f>
        <v>0</v>
      </c>
      <c r="G47" s="10">
        <f>G43*G14/1000000</f>
        <v>0</v>
      </c>
      <c r="H47" s="34" t="s">
        <v>371</v>
      </c>
    </row>
    <row r="48" spans="2:12" x14ac:dyDescent="0.25">
      <c r="B48"/>
      <c r="C48" s="88" t="s">
        <v>372</v>
      </c>
      <c r="D48" s="10">
        <f>D45+D46</f>
        <v>-1.6410624999999994</v>
      </c>
      <c r="E48" s="10">
        <f>E45+E46</f>
        <v>-1.3523125</v>
      </c>
      <c r="F48" s="10">
        <f>F45+F46</f>
        <v>-1.3221940982404692</v>
      </c>
      <c r="G48" s="10">
        <f>G45+G46</f>
        <v>-1.2456204415381704</v>
      </c>
      <c r="H48" s="34" t="s">
        <v>277</v>
      </c>
    </row>
    <row r="49" spans="1:8" x14ac:dyDescent="0.25">
      <c r="B49"/>
      <c r="C49" s="88" t="s">
        <v>373</v>
      </c>
      <c r="D49" s="10">
        <f>D45+D47</f>
        <v>-8.0348124999999992</v>
      </c>
      <c r="E49" s="10">
        <f>E45+E47</f>
        <v>-6.6210624999999999</v>
      </c>
      <c r="F49" s="10">
        <f>F45+F47</f>
        <v>-3.8406875</v>
      </c>
      <c r="G49" s="10">
        <f>G45+G47</f>
        <v>-1.8143125</v>
      </c>
      <c r="H49" s="34" t="s">
        <v>277</v>
      </c>
    </row>
    <row r="50" spans="1:8" ht="30" x14ac:dyDescent="0.25">
      <c r="B50"/>
      <c r="C50" s="19" t="s">
        <v>374</v>
      </c>
      <c r="D50" s="12">
        <f>IF(D48&gt;0,"NA",-ROUND(D48,0))</f>
        <v>2</v>
      </c>
      <c r="E50" s="12">
        <f t="shared" ref="E50:G51" si="4">IF(E48&gt;0,"NA",-ROUND(E48,0))</f>
        <v>1</v>
      </c>
      <c r="F50" s="12">
        <f t="shared" si="4"/>
        <v>1</v>
      </c>
      <c r="G50" s="12">
        <f t="shared" si="4"/>
        <v>1</v>
      </c>
      <c r="H50" s="6"/>
    </row>
    <row r="51" spans="1:8" x14ac:dyDescent="0.25">
      <c r="B51"/>
      <c r="C51" s="19" t="s">
        <v>375</v>
      </c>
      <c r="D51" s="12">
        <f>IF(D49&gt;0,"NA",-ROUND(D49,0))</f>
        <v>8</v>
      </c>
      <c r="E51" s="12">
        <f t="shared" si="4"/>
        <v>7</v>
      </c>
      <c r="F51" s="12">
        <f t="shared" si="4"/>
        <v>4</v>
      </c>
      <c r="G51" s="12">
        <f t="shared" si="4"/>
        <v>2</v>
      </c>
      <c r="H51" s="6"/>
    </row>
    <row r="52" spans="1:8" x14ac:dyDescent="0.25">
      <c r="B52"/>
      <c r="C52" s="6"/>
      <c r="D52" s="3"/>
      <c r="E52" s="3"/>
      <c r="F52" s="3"/>
      <c r="G52" s="3"/>
      <c r="H52" s="6"/>
    </row>
    <row r="53" spans="1:8" ht="15.75" thickBot="1" x14ac:dyDescent="0.3">
      <c r="B53"/>
      <c r="C53" s="54" t="s">
        <v>278</v>
      </c>
      <c r="D53" s="99"/>
      <c r="E53" s="99"/>
      <c r="F53" s="99"/>
      <c r="G53" s="99"/>
      <c r="H53" s="100" t="s">
        <v>279</v>
      </c>
    </row>
    <row r="54" spans="1:8" x14ac:dyDescent="0.25">
      <c r="B54"/>
      <c r="C54" s="6" t="s">
        <v>280</v>
      </c>
      <c r="D54" s="3">
        <v>15</v>
      </c>
      <c r="E54" s="3"/>
      <c r="F54" s="3"/>
      <c r="G54" s="3"/>
      <c r="H54" s="6" t="s">
        <v>281</v>
      </c>
    </row>
    <row r="55" spans="1:8" ht="45" x14ac:dyDescent="0.25">
      <c r="C55" s="6" t="s">
        <v>282</v>
      </c>
      <c r="D55" s="7">
        <v>3000</v>
      </c>
      <c r="E55" s="3"/>
      <c r="F55" s="3"/>
      <c r="G55" s="3"/>
      <c r="H55" s="6" t="s">
        <v>283</v>
      </c>
    </row>
    <row r="56" spans="1:8" x14ac:dyDescent="0.25">
      <c r="C56" s="6" t="s">
        <v>284</v>
      </c>
      <c r="D56" s="60">
        <f>-$D54*$D55*D6/1000000</f>
        <v>-15.345000000000001</v>
      </c>
      <c r="E56" s="60">
        <f>-$D54*$D55*E6/1000000</f>
        <v>-12.645</v>
      </c>
      <c r="F56" s="60">
        <f>-$D54*$D55*F6/1000000</f>
        <v>-7.335</v>
      </c>
      <c r="G56" s="60">
        <f>-$D54*$D55*G6/1000000</f>
        <v>-3.4649999999999999</v>
      </c>
      <c r="H56" s="6"/>
    </row>
    <row r="57" spans="1:8" x14ac:dyDescent="0.25">
      <c r="C57" s="6" t="s">
        <v>285</v>
      </c>
      <c r="D57" s="12">
        <f>IF(D56&gt;0,"NA",-ROUND(D56,0))</f>
        <v>15</v>
      </c>
      <c r="E57" s="12">
        <f>IF(E56&gt;0,"NA",-ROUND(E56,0))</f>
        <v>13</v>
      </c>
      <c r="F57" s="12">
        <f>IF(F56&gt;0,"NA",-ROUND(F56,0))</f>
        <v>7</v>
      </c>
      <c r="G57" s="12">
        <f>IF(G56&gt;0,"NA",-ROUND(G56,0))</f>
        <v>3</v>
      </c>
      <c r="H57" s="6"/>
    </row>
    <row r="59" spans="1:8" ht="15.75" thickBot="1" x14ac:dyDescent="0.3">
      <c r="C59" s="54" t="s">
        <v>463</v>
      </c>
      <c r="D59" s="99"/>
      <c r="E59" s="99"/>
      <c r="F59" s="99"/>
      <c r="G59" s="99"/>
      <c r="H59" s="100" t="s">
        <v>468</v>
      </c>
    </row>
    <row r="60" spans="1:8" ht="30" x14ac:dyDescent="0.25">
      <c r="C60" s="6" t="s">
        <v>466</v>
      </c>
      <c r="D60" s="3">
        <f>-D16*2</f>
        <v>-25.4</v>
      </c>
      <c r="E60" s="3"/>
      <c r="F60" s="3"/>
      <c r="G60" s="3"/>
      <c r="H60" s="34" t="s">
        <v>473</v>
      </c>
    </row>
    <row r="61" spans="1:8" ht="45" x14ac:dyDescent="0.25">
      <c r="C61" s="6" t="s">
        <v>464</v>
      </c>
      <c r="D61" s="59">
        <v>0.41</v>
      </c>
      <c r="E61" s="3"/>
      <c r="F61" s="3"/>
      <c r="G61" s="3"/>
      <c r="H61" s="6" t="s">
        <v>469</v>
      </c>
    </row>
    <row r="62" spans="1:8" ht="45" x14ac:dyDescent="0.25">
      <c r="C62" s="6" t="s">
        <v>467</v>
      </c>
      <c r="D62" s="7">
        <f>D60*48*(1-$D61)</f>
        <v>-719.32799999999997</v>
      </c>
      <c r="E62" s="3"/>
      <c r="F62" s="3"/>
      <c r="G62" s="3"/>
      <c r="H62" s="34" t="s">
        <v>472</v>
      </c>
    </row>
    <row r="63" spans="1:8" ht="45" x14ac:dyDescent="0.25">
      <c r="C63" s="6" t="s">
        <v>465</v>
      </c>
      <c r="D63" s="60">
        <f>$D62*D6*100/1000000</f>
        <v>-24.5290848</v>
      </c>
      <c r="E63" s="60">
        <f>$D62*E6*100/1000000</f>
        <v>-20.213116800000002</v>
      </c>
      <c r="F63" s="60">
        <f>$D62*F6*100/1000000</f>
        <v>-11.725046399999998</v>
      </c>
      <c r="G63" s="60">
        <f>$D62*G6*100/1000000</f>
        <v>-5.5388256000000009</v>
      </c>
      <c r="H63" s="34" t="s">
        <v>474</v>
      </c>
    </row>
    <row r="64" spans="1:8" ht="30" x14ac:dyDescent="0.25">
      <c r="A64" s="179"/>
      <c r="C64" s="6" t="s">
        <v>528</v>
      </c>
      <c r="D64" s="12">
        <f>IF(D63&gt;0,"NA",-ROUND(D63,0))</f>
        <v>25</v>
      </c>
      <c r="E64" s="12">
        <f>IF(E63&gt;0,"NA",-ROUND(E63,0))</f>
        <v>20</v>
      </c>
      <c r="F64" s="12">
        <f>IF(F63&gt;0,"NA",-ROUND(F63,0))</f>
        <v>12</v>
      </c>
      <c r="G64" s="12">
        <f>IF(G63&gt;0,"NA",-ROUND(G63,0))</f>
        <v>6</v>
      </c>
      <c r="H64" s="6"/>
    </row>
    <row r="65" spans="1:8" x14ac:dyDescent="0.25">
      <c r="A65" s="179"/>
    </row>
    <row r="66" spans="1:8" ht="15.75" thickBot="1" x14ac:dyDescent="0.3">
      <c r="A66" s="179"/>
      <c r="C66" s="54" t="s">
        <v>519</v>
      </c>
      <c r="D66" s="99"/>
      <c r="E66" s="99"/>
      <c r="F66" s="99"/>
      <c r="G66" s="99"/>
      <c r="H66" s="100" t="s">
        <v>520</v>
      </c>
    </row>
    <row r="67" spans="1:8" x14ac:dyDescent="0.25">
      <c r="A67" s="179"/>
      <c r="C67" s="6" t="s">
        <v>521</v>
      </c>
      <c r="D67" s="59">
        <v>0.31794114652275735</v>
      </c>
      <c r="E67" s="156"/>
      <c r="F67" s="156"/>
      <c r="G67" s="156"/>
      <c r="H67" s="3" t="s">
        <v>523</v>
      </c>
    </row>
    <row r="68" spans="1:8" ht="30" x14ac:dyDescent="0.25">
      <c r="A68" s="179"/>
      <c r="C68" s="6" t="s">
        <v>525</v>
      </c>
      <c r="D68" s="59">
        <v>-0.1</v>
      </c>
      <c r="E68" s="156"/>
      <c r="F68" s="156"/>
      <c r="G68" s="156"/>
      <c r="H68" s="3" t="s">
        <v>168</v>
      </c>
    </row>
    <row r="69" spans="1:8" x14ac:dyDescent="0.25">
      <c r="A69" s="179"/>
      <c r="C69" s="6" t="s">
        <v>522</v>
      </c>
      <c r="D69" s="59">
        <f>5774/19642</f>
        <v>0.29396191833825475</v>
      </c>
      <c r="E69" s="156"/>
      <c r="F69" s="156"/>
      <c r="G69" s="156"/>
      <c r="H69" s="3" t="s">
        <v>523</v>
      </c>
    </row>
    <row r="70" spans="1:8" ht="30" x14ac:dyDescent="0.25">
      <c r="C70" s="6" t="s">
        <v>531</v>
      </c>
      <c r="D70" s="59">
        <v>-0.12</v>
      </c>
      <c r="E70" s="156"/>
      <c r="F70" s="156"/>
      <c r="G70" s="156"/>
      <c r="H70" s="3" t="s">
        <v>530</v>
      </c>
    </row>
    <row r="71" spans="1:8" ht="30" x14ac:dyDescent="0.25">
      <c r="A71" s="179"/>
      <c r="C71" s="6" t="s">
        <v>524</v>
      </c>
      <c r="D71" s="7">
        <f>'Land Use'!D10*(TDM!D67*TDM!D68+TDM!D69*TDM!D70)</f>
        <v>-1317.38</v>
      </c>
      <c r="E71" s="156"/>
      <c r="F71" s="156"/>
      <c r="G71" s="156"/>
      <c r="H71" s="34" t="s">
        <v>529</v>
      </c>
    </row>
    <row r="72" spans="1:8" ht="45" x14ac:dyDescent="0.25">
      <c r="A72" s="179"/>
      <c r="C72" s="6" t="s">
        <v>526</v>
      </c>
      <c r="D72" s="60">
        <f>$D71*D6*100/1000000</f>
        <v>-44.922657999999998</v>
      </c>
      <c r="E72" s="60">
        <f>$D71*E6*100/1000000</f>
        <v>-37.018377999999998</v>
      </c>
      <c r="F72" s="60">
        <f>$D71*F6*100/1000000</f>
        <v>-21.473294000000003</v>
      </c>
      <c r="G72" s="60">
        <f>$D71*G6*100/1000000</f>
        <v>-10.143826000000001</v>
      </c>
      <c r="H72" s="34" t="s">
        <v>474</v>
      </c>
    </row>
    <row r="73" spans="1:8" ht="30" x14ac:dyDescent="0.25">
      <c r="A73" s="179"/>
      <c r="C73" s="6" t="s">
        <v>527</v>
      </c>
      <c r="D73" s="12">
        <f>IF(D72&gt;0,"NA",-ROUND(D72,0))</f>
        <v>45</v>
      </c>
      <c r="E73" s="12">
        <f>IF(E72&gt;0,"NA",-ROUND(E72,0))</f>
        <v>37</v>
      </c>
      <c r="F73" s="12">
        <f>IF(F72&gt;0,"NA",-ROUND(F72,0))</f>
        <v>21</v>
      </c>
      <c r="G73" s="12">
        <f>IF(G72&gt;0,"NA",-ROUND(G72,0))</f>
        <v>10</v>
      </c>
      <c r="H73" s="6"/>
    </row>
    <row r="74" spans="1:8" x14ac:dyDescent="0.25">
      <c r="A74" s="179"/>
    </row>
    <row r="75" spans="1:8" x14ac:dyDescent="0.25">
      <c r="A75" s="179"/>
    </row>
    <row r="76" spans="1:8" x14ac:dyDescent="0.25">
      <c r="A76" s="179"/>
    </row>
    <row r="77" spans="1:8" x14ac:dyDescent="0.25">
      <c r="A77" s="179"/>
    </row>
    <row r="78" spans="1:8" x14ac:dyDescent="0.25">
      <c r="A78" s="179"/>
    </row>
  </sheetData>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72316-2904-496E-B529-D9705EFBE597}">
  <dimension ref="B1:R59"/>
  <sheetViews>
    <sheetView zoomScaleNormal="100" workbookViewId="0">
      <pane ySplit="3" topLeftCell="A4" activePane="bottomLeft" state="frozen"/>
      <selection pane="bottomLeft" activeCell="F38" sqref="F38"/>
    </sheetView>
  </sheetViews>
  <sheetFormatPr defaultRowHeight="15" x14ac:dyDescent="0.25"/>
  <cols>
    <col min="1" max="1" width="2.5703125" customWidth="1"/>
    <col min="2" max="2" width="4.42578125" style="3" customWidth="1"/>
    <col min="3" max="3" width="36.140625" style="2" customWidth="1"/>
    <col min="4" max="4" width="10.5703125" customWidth="1"/>
    <col min="5" max="7" width="9.7109375" customWidth="1"/>
    <col min="8" max="8" width="50.42578125" style="2" customWidth="1"/>
    <col min="12" max="13" width="9" bestFit="1" customWidth="1"/>
    <col min="14" max="15" width="8.7109375" bestFit="1" customWidth="1"/>
    <col min="16" max="17" width="8.42578125" customWidth="1"/>
  </cols>
  <sheetData>
    <row r="1" spans="2:12" ht="15.75" thickTop="1" x14ac:dyDescent="0.25">
      <c r="B1" s="28" t="s">
        <v>657</v>
      </c>
      <c r="C1" s="28"/>
      <c r="D1" s="28"/>
      <c r="E1" s="28"/>
      <c r="F1" s="29"/>
      <c r="G1" s="29"/>
      <c r="H1" s="30"/>
    </row>
    <row r="2" spans="2:12" x14ac:dyDescent="0.25">
      <c r="D2" s="1" t="s">
        <v>1</v>
      </c>
      <c r="E2" s="1"/>
      <c r="F2" s="1"/>
      <c r="G2" s="1"/>
    </row>
    <row r="3" spans="2:12" ht="15.75" thickBot="1" x14ac:dyDescent="0.3">
      <c r="B3" s="35" t="s">
        <v>2</v>
      </c>
      <c r="C3" s="17" t="s">
        <v>3</v>
      </c>
      <c r="D3" s="13">
        <v>2025</v>
      </c>
      <c r="E3" s="13">
        <v>2030</v>
      </c>
      <c r="F3" s="13">
        <v>2040</v>
      </c>
      <c r="G3" s="13">
        <v>2050</v>
      </c>
      <c r="H3" s="17" t="s">
        <v>61</v>
      </c>
    </row>
    <row r="4" spans="2:12" ht="15.75" thickTop="1" x14ac:dyDescent="0.25">
      <c r="B4" s="36"/>
      <c r="C4" s="14" t="s">
        <v>6</v>
      </c>
      <c r="D4" s="14"/>
      <c r="E4" s="14"/>
      <c r="F4" s="15"/>
      <c r="G4" s="15"/>
      <c r="H4" s="16"/>
    </row>
    <row r="5" spans="2:12" x14ac:dyDescent="0.25">
      <c r="C5" s="6" t="s">
        <v>8</v>
      </c>
      <c r="D5" s="185">
        <v>341</v>
      </c>
      <c r="E5" s="185">
        <v>281</v>
      </c>
      <c r="F5" s="185">
        <v>163</v>
      </c>
      <c r="G5" s="185">
        <v>77</v>
      </c>
      <c r="H5" s="6" t="s">
        <v>9</v>
      </c>
      <c r="I5" s="142"/>
      <c r="J5" s="142"/>
      <c r="K5" s="142"/>
      <c r="L5" s="142"/>
    </row>
    <row r="6" spans="2:12" ht="30" x14ac:dyDescent="0.25">
      <c r="C6" s="6" t="s">
        <v>286</v>
      </c>
      <c r="D6" s="7">
        <f>[1]Baseline!$S$105*1000</f>
        <v>1306.7405703134523</v>
      </c>
      <c r="E6" s="7">
        <f>[1]Baseline!$X$105*1000</f>
        <v>1198.8356512547828</v>
      </c>
      <c r="F6" s="7">
        <f>[1]Baseline!$AH$105*1000</f>
        <v>1074.2545022435372</v>
      </c>
      <c r="G6" s="7">
        <f>F6</f>
        <v>1074.2545022435372</v>
      </c>
      <c r="H6" s="6" t="s">
        <v>287</v>
      </c>
      <c r="J6" s="142"/>
      <c r="K6" s="142"/>
    </row>
    <row r="7" spans="2:12" ht="30" x14ac:dyDescent="0.25">
      <c r="C7" s="6" t="s">
        <v>288</v>
      </c>
      <c r="D7" s="59">
        <v>0.21</v>
      </c>
      <c r="E7" s="67"/>
      <c r="F7" s="67"/>
      <c r="G7" s="67"/>
      <c r="H7" s="6" t="s">
        <v>289</v>
      </c>
    </row>
    <row r="8" spans="2:12" ht="45" x14ac:dyDescent="0.25">
      <c r="C8" s="3" t="s">
        <v>290</v>
      </c>
      <c r="D8" s="4">
        <f>[1]System!$Z$14*1000</f>
        <v>3.4569714767390449</v>
      </c>
      <c r="E8" s="4">
        <f>$D8*((1-$D7)*E5/$D5+$D7*E6/$D6)</f>
        <v>2.9164953720009601</v>
      </c>
      <c r="F8" s="4">
        <f>$D8*((1-$D7)*F5/$D5+$D7*F6/$D6)</f>
        <v>1.9022431990999769</v>
      </c>
      <c r="G8" s="4">
        <f>$D8*((1-$D7)*G5/$D5+$D7*G6/$D6)</f>
        <v>1.2134847177813533</v>
      </c>
      <c r="H8" s="6" t="s">
        <v>291</v>
      </c>
    </row>
    <row r="9" spans="2:12" ht="15.75" thickBot="1" x14ac:dyDescent="0.3"/>
    <row r="10" spans="2:12" ht="15.75" thickTop="1" x14ac:dyDescent="0.25">
      <c r="B10" s="36"/>
      <c r="C10" s="14" t="s">
        <v>292</v>
      </c>
      <c r="D10" s="14"/>
      <c r="E10" s="14"/>
      <c r="F10" s="15"/>
      <c r="G10" s="15"/>
      <c r="H10" s="71" t="s">
        <v>293</v>
      </c>
    </row>
    <row r="11" spans="2:12" x14ac:dyDescent="0.25">
      <c r="C11" s="3" t="s">
        <v>294</v>
      </c>
      <c r="D11" s="4">
        <v>1</v>
      </c>
      <c r="E11" s="3"/>
      <c r="F11" s="3"/>
      <c r="G11" s="3"/>
      <c r="H11" s="6" t="s">
        <v>168</v>
      </c>
    </row>
    <row r="12" spans="2:12" x14ac:dyDescent="0.25">
      <c r="C12" s="3" t="s">
        <v>295</v>
      </c>
      <c r="D12" s="4">
        <v>2</v>
      </c>
      <c r="E12" s="3"/>
      <c r="F12" s="3"/>
      <c r="G12" s="3"/>
      <c r="H12" s="6" t="s">
        <v>168</v>
      </c>
    </row>
    <row r="13" spans="2:12" x14ac:dyDescent="0.25">
      <c r="C13" s="3" t="s">
        <v>296</v>
      </c>
      <c r="D13" s="4">
        <v>20</v>
      </c>
      <c r="E13" s="3"/>
      <c r="F13" s="3"/>
      <c r="G13" s="3"/>
      <c r="H13" s="6" t="s">
        <v>168</v>
      </c>
    </row>
    <row r="14" spans="2:12" ht="45" x14ac:dyDescent="0.25">
      <c r="C14" s="3" t="s">
        <v>401</v>
      </c>
      <c r="D14" s="8">
        <v>-0.12</v>
      </c>
      <c r="E14" s="3"/>
      <c r="F14" s="3"/>
      <c r="G14" s="3"/>
      <c r="H14" s="6" t="s">
        <v>297</v>
      </c>
    </row>
    <row r="15" spans="2:12" x14ac:dyDescent="0.25">
      <c r="C15" s="3" t="s">
        <v>298</v>
      </c>
      <c r="D15" s="4">
        <f>D13/(1+D14)</f>
        <v>22.727272727272727</v>
      </c>
      <c r="E15" s="3"/>
      <c r="F15" s="3"/>
      <c r="G15" s="3"/>
      <c r="H15" s="6" t="s">
        <v>299</v>
      </c>
    </row>
    <row r="16" spans="2:12" ht="30" x14ac:dyDescent="0.25">
      <c r="C16" s="6" t="s">
        <v>300</v>
      </c>
      <c r="D16" s="61">
        <v>10000</v>
      </c>
      <c r="E16" s="3"/>
      <c r="F16" s="3"/>
      <c r="G16" s="3"/>
      <c r="H16" s="6" t="s">
        <v>168</v>
      </c>
    </row>
    <row r="17" spans="2:18" x14ac:dyDescent="0.25">
      <c r="C17" s="3" t="s">
        <v>301</v>
      </c>
      <c r="D17" s="3">
        <f>-(D11/D13)+(D11/D15)</f>
        <v>-5.9999999999999984E-3</v>
      </c>
      <c r="E17" s="3"/>
      <c r="F17" s="3"/>
      <c r="G17" s="3"/>
      <c r="H17" s="6" t="s">
        <v>299</v>
      </c>
    </row>
    <row r="18" spans="2:18" x14ac:dyDescent="0.25">
      <c r="C18" s="3" t="s">
        <v>302</v>
      </c>
      <c r="D18" s="60">
        <f>D17*D16</f>
        <v>-59.999999999999986</v>
      </c>
      <c r="E18" s="3"/>
      <c r="F18" s="3"/>
      <c r="G18" s="3"/>
      <c r="H18" s="6" t="s">
        <v>299</v>
      </c>
    </row>
    <row r="19" spans="2:18" ht="45" x14ac:dyDescent="0.25">
      <c r="C19" s="6" t="s">
        <v>400</v>
      </c>
      <c r="D19" s="3">
        <v>-0.3</v>
      </c>
      <c r="E19" s="3"/>
      <c r="F19" s="3"/>
      <c r="G19" s="3"/>
      <c r="H19" s="6" t="s">
        <v>408</v>
      </c>
    </row>
    <row r="20" spans="2:18" ht="30" x14ac:dyDescent="0.25">
      <c r="C20" s="6" t="s">
        <v>405</v>
      </c>
      <c r="D20" s="60">
        <f>D16+D16*D14*D19</f>
        <v>10360</v>
      </c>
      <c r="E20" s="3"/>
      <c r="F20" s="3"/>
      <c r="G20" s="3"/>
      <c r="H20" s="34" t="s">
        <v>482</v>
      </c>
    </row>
    <row r="21" spans="2:18" x14ac:dyDescent="0.25">
      <c r="C21" s="3" t="s">
        <v>303</v>
      </c>
      <c r="D21" s="60"/>
      <c r="E21" s="3"/>
      <c r="F21" s="3"/>
      <c r="G21" s="3"/>
      <c r="H21" s="6"/>
    </row>
    <row r="22" spans="2:18" x14ac:dyDescent="0.25">
      <c r="C22" s="55" t="s">
        <v>402</v>
      </c>
      <c r="D22" s="10">
        <f>$D18*365*D8/1000</f>
        <v>-75.70767534058507</v>
      </c>
      <c r="E22" s="10">
        <f>$D18*365*E8/1000</f>
        <v>-63.871248646821016</v>
      </c>
      <c r="F22" s="10">
        <f>$D18*365*F8/1000</f>
        <v>-41.659126060289481</v>
      </c>
      <c r="G22" s="10">
        <f>$D18*365*G8/1000</f>
        <v>-26.575315319411633</v>
      </c>
      <c r="H22" s="34" t="s">
        <v>483</v>
      </c>
    </row>
    <row r="23" spans="2:18" ht="30" x14ac:dyDescent="0.25">
      <c r="C23" s="55" t="s">
        <v>403</v>
      </c>
      <c r="D23" s="10">
        <f>($D20-$D16)*$D11/$D12*D5*365/1000000</f>
        <v>22.403700000000001</v>
      </c>
      <c r="E23" s="10">
        <f>($D20-$D16)*$D11/$D12*E5*365/1000000</f>
        <v>18.4617</v>
      </c>
      <c r="F23" s="10">
        <f>($D20-$D16)*$D11/$D12*F5*365/1000000</f>
        <v>10.709099999999999</v>
      </c>
      <c r="G23" s="10">
        <f>($D20-$D16)*$D11/$D12*G5*365/1000000</f>
        <v>5.0589000000000004</v>
      </c>
      <c r="H23" s="34" t="s">
        <v>484</v>
      </c>
    </row>
    <row r="24" spans="2:18" x14ac:dyDescent="0.25">
      <c r="C24" s="55" t="s">
        <v>404</v>
      </c>
      <c r="D24" s="10">
        <f>D22+D23</f>
        <v>-53.303975340585069</v>
      </c>
      <c r="E24" s="10">
        <f>E22+E23</f>
        <v>-45.409548646821015</v>
      </c>
      <c r="F24" s="10">
        <f>F22+F23</f>
        <v>-30.950026060289481</v>
      </c>
      <c r="G24" s="10">
        <f>G22+G23</f>
        <v>-21.516415319411632</v>
      </c>
      <c r="H24" s="6"/>
    </row>
    <row r="25" spans="2:18" x14ac:dyDescent="0.25">
      <c r="C25" s="3" t="s">
        <v>304</v>
      </c>
      <c r="D25" s="52">
        <f>-ROUND(D24,0)</f>
        <v>53</v>
      </c>
      <c r="E25" s="52">
        <f>-ROUND(E24,0)</f>
        <v>45</v>
      </c>
      <c r="F25" s="52">
        <f>-ROUND(F24,0)</f>
        <v>31</v>
      </c>
      <c r="G25" s="52">
        <f>-ROUND(G24,0)</f>
        <v>22</v>
      </c>
      <c r="H25" s="6"/>
    </row>
    <row r="26" spans="2:18" ht="15.75" thickBot="1" x14ac:dyDescent="0.3">
      <c r="C26" s="6"/>
      <c r="D26" s="7"/>
      <c r="E26" s="7"/>
      <c r="F26" s="7"/>
      <c r="G26" s="7"/>
      <c r="H26" s="6"/>
    </row>
    <row r="27" spans="2:18" ht="15.75" thickTop="1" x14ac:dyDescent="0.25">
      <c r="B27" s="36"/>
      <c r="C27" s="14" t="s">
        <v>305</v>
      </c>
      <c r="D27" s="14"/>
      <c r="E27" s="14"/>
      <c r="F27" s="15"/>
      <c r="G27" s="15"/>
      <c r="H27" s="71" t="s">
        <v>411</v>
      </c>
    </row>
    <row r="28" spans="2:18" ht="45" hidden="1" x14ac:dyDescent="0.25">
      <c r="C28" s="6" t="s">
        <v>306</v>
      </c>
      <c r="D28" s="136">
        <f>189*0.78</f>
        <v>147.42000000000002</v>
      </c>
      <c r="E28" s="60">
        <f>D28*E25/D$25</f>
        <v>125.1679245283019</v>
      </c>
      <c r="F28" s="60">
        <f>E28*F25/E$25</f>
        <v>86.226792452830196</v>
      </c>
      <c r="G28" s="60">
        <f>F28*G25/F$25</f>
        <v>61.193207547169813</v>
      </c>
      <c r="H28" s="6" t="s">
        <v>307</v>
      </c>
    </row>
    <row r="29" spans="2:18" hidden="1" x14ac:dyDescent="0.25">
      <c r="C29" s="6" t="s">
        <v>308</v>
      </c>
      <c r="D29" s="12">
        <f>ROUND(D28,0)</f>
        <v>147</v>
      </c>
      <c r="E29" s="12">
        <f>ROUND(E28,0)</f>
        <v>125</v>
      </c>
      <c r="F29" s="12">
        <f>ROUND(F28,0)</f>
        <v>86</v>
      </c>
      <c r="G29" s="12">
        <f>ROUND(G28,0)</f>
        <v>61</v>
      </c>
      <c r="H29" s="6"/>
    </row>
    <row r="30" spans="2:18" ht="30" x14ac:dyDescent="0.25">
      <c r="C30" s="6" t="s">
        <v>425</v>
      </c>
      <c r="D30" s="149">
        <f>R35*(0.4/0.51)</f>
        <v>-6.6562866879344137E-2</v>
      </c>
      <c r="E30" s="60"/>
      <c r="F30" s="60"/>
      <c r="G30" s="60"/>
      <c r="H30" s="6" t="s">
        <v>429</v>
      </c>
      <c r="K30" s="1" t="s">
        <v>420</v>
      </c>
      <c r="M30" t="s">
        <v>421</v>
      </c>
    </row>
    <row r="31" spans="2:18" x14ac:dyDescent="0.25">
      <c r="C31" s="6" t="s">
        <v>426</v>
      </c>
      <c r="D31" s="60">
        <f>10000*365</f>
        <v>3650000</v>
      </c>
      <c r="E31" s="60"/>
      <c r="F31" s="60"/>
      <c r="G31" s="60"/>
      <c r="H31" s="34" t="s">
        <v>485</v>
      </c>
      <c r="L31" t="s">
        <v>415</v>
      </c>
      <c r="N31" t="s">
        <v>414</v>
      </c>
      <c r="P31" t="s">
        <v>424</v>
      </c>
    </row>
    <row r="32" spans="2:18" x14ac:dyDescent="0.25">
      <c r="C32" s="6" t="s">
        <v>423</v>
      </c>
      <c r="D32" s="60">
        <f>D30*D31/1000</f>
        <v>-242.95446410960611</v>
      </c>
      <c r="E32" s="60">
        <f>D32*E25/$D25</f>
        <v>-206.2820921685335</v>
      </c>
      <c r="F32" s="60">
        <f>E32*F25/$D25</f>
        <v>-120.65556334385921</v>
      </c>
      <c r="G32" s="60">
        <f>F32*G25/$D25</f>
        <v>-50.083441388017036</v>
      </c>
      <c r="H32" s="34" t="s">
        <v>486</v>
      </c>
      <c r="K32" t="s">
        <v>422</v>
      </c>
      <c r="L32" s="145" t="s">
        <v>416</v>
      </c>
      <c r="M32" s="145" t="s">
        <v>417</v>
      </c>
      <c r="N32" s="145" t="s">
        <v>416</v>
      </c>
      <c r="O32" s="145" t="s">
        <v>417</v>
      </c>
      <c r="P32" s="145" t="s">
        <v>416</v>
      </c>
      <c r="Q32" s="145" t="s">
        <v>417</v>
      </c>
      <c r="R32" s="145" t="s">
        <v>418</v>
      </c>
    </row>
    <row r="33" spans="3:18" ht="30" x14ac:dyDescent="0.25">
      <c r="C33" s="6" t="s">
        <v>427</v>
      </c>
      <c r="D33" s="52">
        <f>-ROUND(D32,0)</f>
        <v>243</v>
      </c>
      <c r="E33" s="52">
        <f>-ROUND(E32,0)</f>
        <v>206</v>
      </c>
      <c r="F33" s="52">
        <f>-ROUND(F32,0)</f>
        <v>121</v>
      </c>
      <c r="G33" s="52">
        <f>-ROUND(G32,0)</f>
        <v>50</v>
      </c>
      <c r="H33" s="6"/>
      <c r="K33" t="s">
        <v>412</v>
      </c>
      <c r="L33" s="69">
        <v>1334</v>
      </c>
      <c r="M33" s="69">
        <v>1259</v>
      </c>
      <c r="N33" s="69">
        <v>340</v>
      </c>
      <c r="O33" s="69">
        <v>216</v>
      </c>
      <c r="P33" s="144">
        <f>N33/L33</f>
        <v>0.25487256371814093</v>
      </c>
      <c r="Q33" s="144">
        <f>O33/M33</f>
        <v>0.17156473391580621</v>
      </c>
      <c r="R33" s="143">
        <f>Q33-P33</f>
        <v>-8.3307829802334726E-2</v>
      </c>
    </row>
    <row r="34" spans="3:18" x14ac:dyDescent="0.25">
      <c r="C34" s="6"/>
      <c r="D34" s="60"/>
      <c r="E34" s="60"/>
      <c r="F34" s="60"/>
      <c r="G34" s="60"/>
      <c r="H34" s="6"/>
      <c r="K34" t="s">
        <v>413</v>
      </c>
      <c r="L34" s="69">
        <v>1139</v>
      </c>
      <c r="M34" s="69">
        <v>1066</v>
      </c>
      <c r="N34" s="69">
        <v>310</v>
      </c>
      <c r="O34" s="69">
        <v>198</v>
      </c>
      <c r="P34" s="144">
        <f>N34/L34</f>
        <v>0.27216856892010538</v>
      </c>
      <c r="Q34" s="144">
        <f>O34/M34</f>
        <v>0.18574108818011256</v>
      </c>
      <c r="R34" s="143">
        <f>Q34-P34</f>
        <v>-8.6427480739992818E-2</v>
      </c>
    </row>
    <row r="35" spans="3:18" x14ac:dyDescent="0.25">
      <c r="D35" s="69"/>
      <c r="H35"/>
      <c r="K35" t="s">
        <v>419</v>
      </c>
      <c r="P35" s="143"/>
      <c r="Q35" s="143"/>
      <c r="R35" s="143">
        <f>AVERAGE(R33:R34)</f>
        <v>-8.4867655271163772E-2</v>
      </c>
    </row>
    <row r="36" spans="3:18" x14ac:dyDescent="0.25">
      <c r="D36" s="83"/>
      <c r="H36"/>
    </row>
    <row r="37" spans="3:18" x14ac:dyDescent="0.25">
      <c r="H37"/>
    </row>
    <row r="38" spans="3:18" x14ac:dyDescent="0.25">
      <c r="H38"/>
    </row>
    <row r="39" spans="3:18" x14ac:dyDescent="0.25">
      <c r="H39"/>
    </row>
    <row r="40" spans="3:18" x14ac:dyDescent="0.25">
      <c r="H40"/>
    </row>
    <row r="55" spans="4:8" x14ac:dyDescent="0.25">
      <c r="D55" s="69"/>
      <c r="H55"/>
    </row>
    <row r="56" spans="4:8" x14ac:dyDescent="0.25">
      <c r="D56" s="69"/>
      <c r="H56"/>
    </row>
    <row r="57" spans="4:8" x14ac:dyDescent="0.25">
      <c r="D57" s="69"/>
      <c r="H57"/>
    </row>
    <row r="58" spans="4:8" x14ac:dyDescent="0.25">
      <c r="D58" s="83"/>
      <c r="H58"/>
    </row>
    <row r="59" spans="4:8" x14ac:dyDescent="0.25">
      <c r="H59"/>
    </row>
  </sheetData>
  <pageMargins left="0.7" right="0.7" top="0.75" bottom="0.75" header="0.3" footer="0.3"/>
  <pageSetup orientation="portrait" horizontalDpi="1200" verticalDpi="12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1F2C0-2E8C-40D2-9029-B58103D0DCB1}">
  <dimension ref="A2:F47"/>
  <sheetViews>
    <sheetView workbookViewId="0">
      <selection activeCell="C35" sqref="C35"/>
    </sheetView>
  </sheetViews>
  <sheetFormatPr defaultColWidth="8.7109375" defaultRowHeight="15" x14ac:dyDescent="0.25"/>
  <cols>
    <col min="1" max="1" width="8.7109375" style="6"/>
    <col min="2" max="2" width="24.140625" style="6" customWidth="1"/>
    <col min="3" max="3" width="58.7109375" style="6" customWidth="1"/>
    <col min="4" max="4" width="52.28515625" style="6" customWidth="1"/>
    <col min="5" max="5" width="8.7109375" style="6"/>
    <col min="6" max="6" width="39.28515625" style="6" customWidth="1"/>
    <col min="7" max="16384" width="8.7109375" style="6"/>
  </cols>
  <sheetData>
    <row r="2" spans="1:6" x14ac:dyDescent="0.25">
      <c r="B2" s="66" t="s">
        <v>309</v>
      </c>
      <c r="C2" s="66" t="s">
        <v>310</v>
      </c>
      <c r="D2" s="66" t="s">
        <v>550</v>
      </c>
      <c r="F2" s="35" t="s">
        <v>311</v>
      </c>
    </row>
    <row r="3" spans="1:6" ht="30" x14ac:dyDescent="0.25">
      <c r="B3" s="6" t="s">
        <v>223</v>
      </c>
      <c r="C3" s="6" t="s">
        <v>312</v>
      </c>
      <c r="D3" s="6" t="s">
        <v>551</v>
      </c>
      <c r="F3" s="23" t="s">
        <v>313</v>
      </c>
    </row>
    <row r="4" spans="1:6" ht="30" x14ac:dyDescent="0.25">
      <c r="B4" s="6" t="s">
        <v>314</v>
      </c>
      <c r="C4" s="6" t="s">
        <v>315</v>
      </c>
      <c r="D4" s="164" t="s">
        <v>552</v>
      </c>
      <c r="F4" s="22" t="s">
        <v>316</v>
      </c>
    </row>
    <row r="5" spans="1:6" x14ac:dyDescent="0.25">
      <c r="B5" s="6" t="s">
        <v>317</v>
      </c>
      <c r="C5" s="6" t="s">
        <v>318</v>
      </c>
      <c r="D5" s="164" t="s">
        <v>553</v>
      </c>
      <c r="F5" s="24" t="s">
        <v>319</v>
      </c>
    </row>
    <row r="6" spans="1:6" ht="60" x14ac:dyDescent="0.25">
      <c r="A6" s="150"/>
      <c r="B6" s="6" t="s">
        <v>409</v>
      </c>
      <c r="C6" s="6" t="s">
        <v>410</v>
      </c>
      <c r="D6" s="6" t="s">
        <v>578</v>
      </c>
      <c r="F6" s="5" t="s">
        <v>322</v>
      </c>
    </row>
    <row r="7" spans="1:6" ht="45" x14ac:dyDescent="0.25">
      <c r="B7" s="6" t="s">
        <v>320</v>
      </c>
      <c r="C7" s="6" t="s">
        <v>321</v>
      </c>
      <c r="D7" s="164" t="s">
        <v>577</v>
      </c>
      <c r="F7" s="150" t="s">
        <v>487</v>
      </c>
    </row>
    <row r="8" spans="1:6" ht="60" x14ac:dyDescent="0.25">
      <c r="B8" s="6" t="s">
        <v>116</v>
      </c>
      <c r="C8" s="6" t="s">
        <v>323</v>
      </c>
      <c r="D8" s="164" t="s">
        <v>554</v>
      </c>
      <c r="F8" s="159" t="s">
        <v>516</v>
      </c>
    </row>
    <row r="9" spans="1:6" ht="45" x14ac:dyDescent="0.25">
      <c r="B9" s="6" t="s">
        <v>324</v>
      </c>
      <c r="C9" s="2" t="s">
        <v>325</v>
      </c>
      <c r="D9" s="164" t="s">
        <v>555</v>
      </c>
    </row>
    <row r="10" spans="1:6" ht="60" x14ac:dyDescent="0.25">
      <c r="B10" s="6" t="s">
        <v>326</v>
      </c>
      <c r="C10" s="2" t="s">
        <v>327</v>
      </c>
      <c r="D10" s="164" t="s">
        <v>556</v>
      </c>
    </row>
    <row r="11" spans="1:6" ht="30" x14ac:dyDescent="0.25">
      <c r="B11" s="6" t="s">
        <v>125</v>
      </c>
      <c r="C11" s="6" t="s">
        <v>579</v>
      </c>
      <c r="D11" s="164" t="s">
        <v>580</v>
      </c>
    </row>
    <row r="12" spans="1:6" ht="60" x14ac:dyDescent="0.25">
      <c r="B12" s="6" t="s">
        <v>328</v>
      </c>
      <c r="C12" s="2" t="s">
        <v>329</v>
      </c>
      <c r="D12" s="164" t="s">
        <v>581</v>
      </c>
    </row>
    <row r="13" spans="1:6" ht="60" x14ac:dyDescent="0.25">
      <c r="A13" s="150"/>
      <c r="B13" s="6" t="s">
        <v>470</v>
      </c>
      <c r="C13" s="6" t="s">
        <v>471</v>
      </c>
    </row>
    <row r="14" spans="1:6" ht="45" x14ac:dyDescent="0.25">
      <c r="B14" s="6" t="s">
        <v>77</v>
      </c>
      <c r="C14" s="6" t="s">
        <v>330</v>
      </c>
      <c r="D14" s="164" t="s">
        <v>557</v>
      </c>
    </row>
    <row r="15" spans="1:6" ht="60" x14ac:dyDescent="0.25">
      <c r="B15" s="6" t="s">
        <v>331</v>
      </c>
      <c r="C15" s="6" t="s">
        <v>332</v>
      </c>
      <c r="D15" s="164" t="s">
        <v>558</v>
      </c>
    </row>
    <row r="16" spans="1:6" ht="60" x14ac:dyDescent="0.25">
      <c r="A16" s="150"/>
      <c r="B16" s="6" t="s">
        <v>420</v>
      </c>
      <c r="C16" s="6" t="s">
        <v>428</v>
      </c>
      <c r="D16" s="6" t="s">
        <v>576</v>
      </c>
    </row>
    <row r="17" spans="2:4" ht="30" x14ac:dyDescent="0.25">
      <c r="B17" s="6" t="s">
        <v>333</v>
      </c>
      <c r="C17" s="6" t="s">
        <v>334</v>
      </c>
      <c r="D17" s="164" t="s">
        <v>559</v>
      </c>
    </row>
    <row r="18" spans="2:4" ht="30" x14ac:dyDescent="0.25">
      <c r="B18" s="6" t="s">
        <v>335</v>
      </c>
      <c r="C18" s="6" t="s">
        <v>336</v>
      </c>
      <c r="D18" s="164" t="s">
        <v>560</v>
      </c>
    </row>
    <row r="19" spans="2:4" ht="45" x14ac:dyDescent="0.25">
      <c r="B19" s="6" t="s">
        <v>225</v>
      </c>
      <c r="C19" s="6" t="s">
        <v>337</v>
      </c>
      <c r="D19" s="164" t="s">
        <v>560</v>
      </c>
    </row>
    <row r="20" spans="2:4" ht="90" x14ac:dyDescent="0.25">
      <c r="B20" s="173" t="s">
        <v>633</v>
      </c>
      <c r="C20" s="173" t="s">
        <v>634</v>
      </c>
      <c r="D20" s="174"/>
    </row>
    <row r="21" spans="2:4" ht="60" x14ac:dyDescent="0.25">
      <c r="B21" s="6" t="s">
        <v>338</v>
      </c>
      <c r="C21" s="6" t="s">
        <v>339</v>
      </c>
      <c r="D21" s="164" t="s">
        <v>561</v>
      </c>
    </row>
    <row r="22" spans="2:4" ht="45" x14ac:dyDescent="0.25">
      <c r="B22" s="6" t="s">
        <v>340</v>
      </c>
      <c r="C22" s="6" t="s">
        <v>341</v>
      </c>
      <c r="D22" s="164" t="s">
        <v>562</v>
      </c>
    </row>
    <row r="23" spans="2:4" ht="45" x14ac:dyDescent="0.25">
      <c r="B23" s="173" t="s">
        <v>627</v>
      </c>
      <c r="C23" s="173" t="s">
        <v>628</v>
      </c>
      <c r="D23" s="174"/>
    </row>
    <row r="24" spans="2:4" ht="60" x14ac:dyDescent="0.25">
      <c r="B24" s="6" t="s">
        <v>342</v>
      </c>
      <c r="C24" s="6" t="s">
        <v>343</v>
      </c>
      <c r="D24" s="164" t="s">
        <v>563</v>
      </c>
    </row>
    <row r="25" spans="2:4" ht="30" x14ac:dyDescent="0.25">
      <c r="B25" s="6" t="s">
        <v>344</v>
      </c>
      <c r="C25" s="6" t="s">
        <v>564</v>
      </c>
      <c r="D25" s="6" t="s">
        <v>565</v>
      </c>
    </row>
    <row r="26" spans="2:4" ht="30" x14ac:dyDescent="0.25">
      <c r="B26" s="6" t="s">
        <v>345</v>
      </c>
      <c r="C26" s="6" t="s">
        <v>346</v>
      </c>
      <c r="D26" s="6" t="s">
        <v>566</v>
      </c>
    </row>
    <row r="27" spans="2:4" ht="30" x14ac:dyDescent="0.25">
      <c r="B27" s="6" t="s">
        <v>347</v>
      </c>
      <c r="C27" s="6" t="s">
        <v>348</v>
      </c>
      <c r="D27" s="6" t="s">
        <v>567</v>
      </c>
    </row>
    <row r="28" spans="2:4" ht="45" x14ac:dyDescent="0.25">
      <c r="B28" s="6" t="s">
        <v>349</v>
      </c>
      <c r="C28" s="6" t="s">
        <v>568</v>
      </c>
      <c r="D28" s="6" t="s">
        <v>569</v>
      </c>
    </row>
    <row r="29" spans="2:4" ht="60" x14ac:dyDescent="0.25">
      <c r="B29" s="6" t="s">
        <v>350</v>
      </c>
      <c r="C29" s="6" t="s">
        <v>351</v>
      </c>
    </row>
    <row r="30" spans="2:4" ht="30" x14ac:dyDescent="0.25">
      <c r="B30" s="6" t="s">
        <v>352</v>
      </c>
      <c r="C30" s="6" t="s">
        <v>353</v>
      </c>
    </row>
    <row r="31" spans="2:4" ht="30" x14ac:dyDescent="0.25">
      <c r="B31" s="6" t="s">
        <v>354</v>
      </c>
      <c r="C31" s="6" t="s">
        <v>355</v>
      </c>
      <c r="D31" s="6" t="s">
        <v>570</v>
      </c>
    </row>
    <row r="32" spans="2:4" ht="45" x14ac:dyDescent="0.25">
      <c r="B32" s="6" t="s">
        <v>202</v>
      </c>
      <c r="C32" s="6" t="s">
        <v>356</v>
      </c>
    </row>
    <row r="33" spans="1:4" ht="60" x14ac:dyDescent="0.25">
      <c r="B33" s="6" t="s">
        <v>359</v>
      </c>
      <c r="C33" s="6" t="s">
        <v>360</v>
      </c>
      <c r="D33" s="6" t="s">
        <v>571</v>
      </c>
    </row>
    <row r="34" spans="1:4" ht="60" x14ac:dyDescent="0.25">
      <c r="B34" s="6" t="s">
        <v>357</v>
      </c>
      <c r="C34" s="6" t="s">
        <v>358</v>
      </c>
      <c r="D34" s="6" t="s">
        <v>571</v>
      </c>
    </row>
    <row r="35" spans="1:4" ht="60" x14ac:dyDescent="0.25">
      <c r="B35" s="173" t="s">
        <v>635</v>
      </c>
      <c r="C35" s="173" t="s">
        <v>636</v>
      </c>
      <c r="D35" s="174" t="s">
        <v>571</v>
      </c>
    </row>
    <row r="36" spans="1:4" ht="60" x14ac:dyDescent="0.25">
      <c r="B36" s="173" t="s">
        <v>625</v>
      </c>
      <c r="C36" s="173" t="s">
        <v>626</v>
      </c>
      <c r="D36" s="174" t="s">
        <v>571</v>
      </c>
    </row>
    <row r="37" spans="1:4" ht="30" x14ac:dyDescent="0.25">
      <c r="B37" s="6" t="s">
        <v>361</v>
      </c>
      <c r="C37" s="6" t="s">
        <v>362</v>
      </c>
      <c r="D37" s="6" t="s">
        <v>572</v>
      </c>
    </row>
    <row r="38" spans="1:4" ht="30" x14ac:dyDescent="0.25">
      <c r="A38" s="150"/>
      <c r="B38" s="6" t="s">
        <v>406</v>
      </c>
      <c r="C38" s="6" t="s">
        <v>407</v>
      </c>
    </row>
    <row r="39" spans="1:4" ht="45" x14ac:dyDescent="0.25">
      <c r="B39" s="6" t="s">
        <v>363</v>
      </c>
      <c r="C39" s="6" t="s">
        <v>364</v>
      </c>
      <c r="D39" s="6" t="s">
        <v>573</v>
      </c>
    </row>
    <row r="40" spans="1:4" ht="30" x14ac:dyDescent="0.25">
      <c r="B40" s="6" t="s">
        <v>365</v>
      </c>
      <c r="C40" s="6" t="s">
        <v>366</v>
      </c>
      <c r="D40" s="164" t="s">
        <v>574</v>
      </c>
    </row>
    <row r="41" spans="1:4" ht="45" x14ac:dyDescent="0.25">
      <c r="B41" s="6" t="s">
        <v>257</v>
      </c>
      <c r="C41" s="6" t="s">
        <v>367</v>
      </c>
      <c r="D41" s="6" t="s">
        <v>575</v>
      </c>
    </row>
    <row r="46" spans="1:4" x14ac:dyDescent="0.25">
      <c r="C46" s="163" t="s">
        <v>541</v>
      </c>
    </row>
    <row r="47" spans="1:4" x14ac:dyDescent="0.25">
      <c r="C47" s="163" t="s">
        <v>542</v>
      </c>
    </row>
  </sheetData>
  <sortState xmlns:xlrd2="http://schemas.microsoft.com/office/spreadsheetml/2017/richdata2" ref="B3:C41">
    <sortCondition ref="B3:B41"/>
  </sortState>
  <hyperlinks>
    <hyperlink ref="C46" r:id="rId1" display="https://americas.uli.org/wp-content/uploads/sites/2/ULI-Documents/ULI-Parking-Policy-Research-Potential-Benefits-of-Reforms.pdf" xr:uid="{5317A985-936B-43FE-97D9-43AB1BCADE02}"/>
    <hyperlink ref="C47" r:id="rId2" display="http://www.sjsu.edu/urbanplanning/docs/VTA-TODParkingSurveyReport-VolI.pdf" xr:uid="{3EC456EE-152B-41E2-95B3-78C4F820AD66}"/>
    <hyperlink ref="D4" r:id="rId3" xr:uid="{0E0A2ACD-5E29-40AB-9530-84B20CEB4D38}"/>
    <hyperlink ref="D5" r:id="rId4" xr:uid="{A30AC343-C2B2-42DC-B30F-335A1F43B97E}"/>
    <hyperlink ref="D8" r:id="rId5" xr:uid="{65A10996-1BF3-4742-9EC0-284416918C26}"/>
    <hyperlink ref="D9" r:id="rId6" xr:uid="{E5B4C76A-F912-40C2-90A2-44A4E043C086}"/>
    <hyperlink ref="D10" r:id="rId7" xr:uid="{F4096227-A857-468B-AA82-3BA39042923B}"/>
    <hyperlink ref="D14" r:id="rId8" xr:uid="{BCE9F7FE-6E1B-4E03-A8CA-EB955DF596B8}"/>
    <hyperlink ref="D15" r:id="rId9" xr:uid="{F2ADC04B-E135-4072-9E75-5635C0F42054}"/>
    <hyperlink ref="D17" r:id="rId10" xr:uid="{10C4FDAD-1B06-4E0D-A864-CAEBCF969A75}"/>
    <hyperlink ref="D18" r:id="rId11" xr:uid="{C8622517-E6A9-49A9-BBC7-5CB0A0439FD9}"/>
    <hyperlink ref="D19" r:id="rId12" xr:uid="{B7E06595-57E9-431D-8FF4-42184D93FBB2}"/>
    <hyperlink ref="D21" r:id="rId13" xr:uid="{9D97F093-90FC-4C49-AF48-7DD4A7A6E658}"/>
    <hyperlink ref="D22" r:id="rId14" xr:uid="{A9CC3D07-1B5F-4A53-B2A4-3CF7029DBA5E}"/>
    <hyperlink ref="D24" r:id="rId15" xr:uid="{0624AC4B-83E4-44E6-81AC-67D08DB38617}"/>
    <hyperlink ref="D40" r:id="rId16" xr:uid="{7A1EED13-D8CC-47A1-876A-A55E80432EC3}"/>
    <hyperlink ref="D7" r:id="rId17" xr:uid="{5A33AE3F-E15E-4BBB-84BB-654AD495E1E8}"/>
    <hyperlink ref="D11" r:id="rId18" xr:uid="{267BF578-D45C-4143-89FA-EB6A239D38D9}"/>
    <hyperlink ref="D12" r:id="rId19" xr:uid="{44D98740-DF94-41F1-AAE1-88653E440817}"/>
    <hyperlink ref="D36" r:id="rId20" xr:uid="{D156E292-568D-4921-8DFB-25678B853A5B}"/>
    <hyperlink ref="D35" r:id="rId21" xr:uid="{8615D96F-7C04-4E30-A677-6F387FFC7CCA}"/>
  </hyperlinks>
  <pageMargins left="0.7" right="0.7" top="0.75" bottom="0.75" header="0.3" footer="0.3"/>
  <pageSetup orientation="portrait" r:id="rId22"/>
  <legacyDrawing r:id="rId2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f14b0a-fce4-45ad-b5ab-82d949782be2">
      <Terms xmlns="http://schemas.microsoft.com/office/infopath/2007/PartnerControls"/>
    </lcf76f155ced4ddcb4097134ff3c332f>
    <TaxCatchAll xmlns="b26c6001-0591-40c4-8312-bdce9c924f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3889368C9034468E3BEFD07FCF2E09" ma:contentTypeVersion="14" ma:contentTypeDescription="Create a new document." ma:contentTypeScope="" ma:versionID="293a254ab672bde70d7bccf4b7ac4ee1">
  <xsd:schema xmlns:xsd="http://www.w3.org/2001/XMLSchema" xmlns:xs="http://www.w3.org/2001/XMLSchema" xmlns:p="http://schemas.microsoft.com/office/2006/metadata/properties" xmlns:ns2="20f14b0a-fce4-45ad-b5ab-82d949782be2" xmlns:ns3="b26c6001-0591-40c4-8312-bdce9c924f21" targetNamespace="http://schemas.microsoft.com/office/2006/metadata/properties" ma:root="true" ma:fieldsID="5d0a96a0574a9805ce02e0415ea87be7" ns2:_="" ns3:_="">
    <xsd:import namespace="20f14b0a-fce4-45ad-b5ab-82d949782be2"/>
    <xsd:import namespace="b26c6001-0591-40c4-8312-bdce9c924f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14b0a-fce4-45ad-b5ab-82d949782b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5869760-63e5-4ad7-8e1d-ce12b2e8d0a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26c6001-0591-40c4-8312-bdce9c924f2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e63265d-dd7d-44f6-81b6-f1151c6b08bd}" ma:internalName="TaxCatchAll" ma:showField="CatchAllData" ma:web="b26c6001-0591-40c4-8312-bdce9c924f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ABDC98-3456-4ED4-A350-7BA01FC37178}">
  <ds:schemaRefs>
    <ds:schemaRef ds:uri="http://schemas.microsoft.com/sharepoint/v3/contenttype/forms"/>
  </ds:schemaRefs>
</ds:datastoreItem>
</file>

<file path=customXml/itemProps2.xml><?xml version="1.0" encoding="utf-8"?>
<ds:datastoreItem xmlns:ds="http://schemas.openxmlformats.org/officeDocument/2006/customXml" ds:itemID="{6691B362-6937-4032-8241-8CFF1C551048}">
  <ds:schemaRefs>
    <ds:schemaRef ds:uri="http://www.w3.org/XML/1998/namespace"/>
    <ds:schemaRef ds:uri="20f14b0a-fce4-45ad-b5ab-82d949782be2"/>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http://purl.org/dc/terms/"/>
    <ds:schemaRef ds:uri="http://schemas.microsoft.com/office/infopath/2007/PartnerControls"/>
    <ds:schemaRef ds:uri="b26c6001-0591-40c4-8312-bdce9c924f21"/>
  </ds:schemaRefs>
</ds:datastoreItem>
</file>

<file path=customXml/itemProps3.xml><?xml version="1.0" encoding="utf-8"?>
<ds:datastoreItem xmlns:ds="http://schemas.openxmlformats.org/officeDocument/2006/customXml" ds:itemID="{3D3044C2-F3AB-4308-A688-5775833BE6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14b0a-fce4-45ad-b5ab-82d949782be2"/>
    <ds:schemaRef ds:uri="b26c6001-0591-40c4-8312-bdce9c924f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Bike-Ped</vt:lpstr>
      <vt:lpstr>Transit</vt:lpstr>
      <vt:lpstr>MD-HD</vt:lpstr>
      <vt:lpstr>Parking</vt:lpstr>
      <vt:lpstr>Land Use</vt:lpstr>
      <vt:lpstr>TDM</vt:lpstr>
      <vt:lpstr>Operations</vt:lpstr>
      <vt:lpstr>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CDOT</dc:creator>
  <cp:keywords/>
  <dc:description/>
  <cp:lastModifiedBy>Rollins, Elizabeth</cp:lastModifiedBy>
  <cp:revision/>
  <dcterms:created xsi:type="dcterms:W3CDTF">2022-03-18T16:54:54Z</dcterms:created>
  <dcterms:modified xsi:type="dcterms:W3CDTF">2024-05-30T14:43:19Z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0x010100723889368C9034468E3BEFD07FCF2E09</vt:lpwstr>
  </property>
  <property fmtid="{D5CDD505-2E9C-101B-9397-08002B2CF9AE}" pid="3" name="MediaServiceImageTags">
    <vt:lpwstr/>
  </property>
  <property fmtid="{D5CDD505-2E9C-101B-9397-08002B2CF9AE}" pid="4" name="WorkbookGuid">
    <vt:lpwstr>a5797e91-36c9-4f9d-af4c-e29edbfd8ece</vt:lpwstr>
  </property>
</Properties>
</file>